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0395" windowHeight="9975" activeTab="0"/>
  </bookViews>
  <sheets>
    <sheet name="Tables1-8" sheetId="1" r:id="rId1"/>
    <sheet name="Table 9" sheetId="2" r:id="rId2"/>
    <sheet name="Table 10" sheetId="3" r:id="rId3"/>
    <sheet name="Table 11" sheetId="4" r:id="rId4"/>
    <sheet name="Tables12-13" sheetId="5" r:id="rId5"/>
  </sheets>
  <definedNames/>
  <calcPr fullCalcOnLoad="1"/>
</workbook>
</file>

<file path=xl/sharedStrings.xml><?xml version="1.0" encoding="utf-8"?>
<sst xmlns="http://schemas.openxmlformats.org/spreadsheetml/2006/main" count="293" uniqueCount="202">
  <si>
    <t>Table 1. Optimal structure according to a Harvard Business School technical note</t>
  </si>
  <si>
    <t>Book value debt ratio (leverage)</t>
  </si>
  <si>
    <t>EBIT, earnings before interest and taxes</t>
  </si>
  <si>
    <t>Interest</t>
  </si>
  <si>
    <t>Profit before taxes (PBT)</t>
  </si>
  <si>
    <t>Taxes (50%)</t>
  </si>
  <si>
    <t>Profit after taxes (PAT)</t>
  </si>
  <si>
    <t>Dividends = ECF</t>
  </si>
  <si>
    <t>Interest + dividends (3)+(7)</t>
  </si>
  <si>
    <t>Cost of debt: Kd</t>
  </si>
  <si>
    <t>Required return on equity: Ke</t>
  </si>
  <si>
    <t>Market value of debt D. (3)/(9)</t>
  </si>
  <si>
    <t>Market value of equity E. (7)/(10)</t>
  </si>
  <si>
    <t>Market value of the firm. (11)+(12)</t>
  </si>
  <si>
    <t>Book value of debt, Dbv</t>
  </si>
  <si>
    <t>Book value of equity, Ebv</t>
  </si>
  <si>
    <t>Book value of the firm</t>
  </si>
  <si>
    <t>Return on assets ROA = EBIT(1–T)/(16)</t>
  </si>
  <si>
    <t>Return on equity = (6)/(15)</t>
  </si>
  <si>
    <t>Number of shares outstanding, NA</t>
  </si>
  <si>
    <t>Price per share, P (12)/(19)</t>
  </si>
  <si>
    <t>Earnings per share, EPS. (6)/(19)</t>
  </si>
  <si>
    <t>Price-earnings ratio, PER (20)/(21)</t>
  </si>
  <si>
    <t>Book value debt ratio (14)/(16)</t>
  </si>
  <si>
    <t>Market value debt ratio (11)/(13)</t>
  </si>
  <si>
    <t>Weighted average cost of capital (WACC)</t>
  </si>
  <si>
    <t>Free cash flow,  FCF = EBIT (1-T)</t>
  </si>
  <si>
    <t>Market value of the firm (26)/(25)</t>
  </si>
  <si>
    <t>Table 2. Value of the cash flows generated by the company and required return to assets</t>
  </si>
  <si>
    <t>Table 3. Cost of leverage</t>
  </si>
  <si>
    <r>
      <t xml:space="preserve">Table 4. </t>
    </r>
    <r>
      <rPr>
        <b/>
        <sz val="10"/>
        <color indexed="8"/>
        <rFont val="Times New Roman"/>
        <family val="1"/>
      </rPr>
      <t xml:space="preserve">Incremental cost of debt </t>
    </r>
  </si>
  <si>
    <r>
      <t xml:space="preserve">Table 5. </t>
    </r>
    <r>
      <rPr>
        <b/>
        <sz val="10"/>
        <color indexed="8"/>
        <rFont val="Times New Roman"/>
        <family val="1"/>
      </rPr>
      <t>Required return to incremental equity cash flow</t>
    </r>
  </si>
  <si>
    <t>Ke</t>
  </si>
  <si>
    <t>Required return to incremental equity cash flow (from right to left):</t>
  </si>
  <si>
    <r>
      <t xml:space="preserve">Incremental equity cash flow </t>
    </r>
    <r>
      <rPr>
        <sz val="10"/>
        <color indexed="8"/>
        <rFont val="Symbol"/>
        <family val="1"/>
      </rPr>
      <t>(D</t>
    </r>
    <r>
      <rPr>
        <sz val="10"/>
        <color indexed="8"/>
        <rFont val="Arial Narrow"/>
        <family val="2"/>
      </rPr>
      <t>Div)</t>
    </r>
  </si>
  <si>
    <t>Required return to incremental equity cash flow</t>
  </si>
  <si>
    <t>Ke - Kd</t>
  </si>
  <si>
    <t>Ke - Kd (1-T)</t>
  </si>
  <si>
    <t>Price per share leveraging the firm from D=0 until final leverage</t>
  </si>
  <si>
    <t>Price per share leveraging the firm in steps of $50,000 each</t>
  </si>
  <si>
    <t>Table 8. Probability of bankruptcy of debt and equity</t>
  </si>
  <si>
    <t>Pq (debt)</t>
  </si>
  <si>
    <t>Pq (shares)</t>
  </si>
  <si>
    <t>Kd if Pq = 0</t>
  </si>
  <si>
    <t>Ke if Pq = 0</t>
  </si>
  <si>
    <r>
      <t xml:space="preserve">Table 9. </t>
    </r>
    <r>
      <rPr>
        <b/>
        <sz val="10"/>
        <color indexed="8"/>
        <rFont val="Times New Roman"/>
        <family val="1"/>
      </rPr>
      <t>Valuation without leverage costs</t>
    </r>
  </si>
  <si>
    <t>Cost of debt: r</t>
  </si>
  <si>
    <t>9'</t>
  </si>
  <si>
    <t>Required return on debt: Kd</t>
  </si>
  <si>
    <t>Market value of debt, D. (3)/(9')</t>
  </si>
  <si>
    <t>Market value of equity, E. (7)/(10)</t>
  </si>
  <si>
    <t>Value of taxes. GOV = (5) / Ke</t>
  </si>
  <si>
    <t>D + E + GOV = (11) + (12) + (28)</t>
  </si>
  <si>
    <r>
      <t xml:space="preserve">Table 10. </t>
    </r>
    <r>
      <rPr>
        <b/>
        <sz val="10"/>
        <color indexed="8"/>
        <rFont val="Times New Roman"/>
        <family val="1"/>
      </rPr>
      <t>Valuation with leverage costs</t>
    </r>
  </si>
  <si>
    <t>Kassets = (2) / (29)</t>
  </si>
  <si>
    <t>Cost of leverage</t>
  </si>
  <si>
    <t>Price per share. Incremental repurchase</t>
  </si>
  <si>
    <r>
      <t>Table 11. Optimal capital structure for Boeing (million dollars). March 1990.</t>
    </r>
    <r>
      <rPr>
        <i/>
        <sz val="10"/>
        <color indexed="8"/>
        <rFont val="Times New Roman"/>
        <family val="1"/>
      </rPr>
      <t xml:space="preserve">  </t>
    </r>
    <r>
      <rPr>
        <i/>
        <sz val="10"/>
        <color indexed="8"/>
        <rFont val="Arial Narrow"/>
        <family val="2"/>
      </rPr>
      <t>Source: Damodaran on valuation. pp. 159.</t>
    </r>
  </si>
  <si>
    <t>Leverage</t>
  </si>
  <si>
    <t>Value of</t>
  </si>
  <si>
    <t>Cost of debt</t>
  </si>
  <si>
    <t>Cost of</t>
  </si>
  <si>
    <t>Incremental</t>
  </si>
  <si>
    <t>Cost of incremental</t>
  </si>
  <si>
    <t>(book value)</t>
  </si>
  <si>
    <t>the firm</t>
  </si>
  <si>
    <t>debt</t>
  </si>
  <si>
    <t>equity</t>
  </si>
  <si>
    <t>(After Tax)</t>
  </si>
  <si>
    <t>D/(D+E) book value</t>
  </si>
  <si>
    <t>(D/E)book value</t>
  </si>
  <si>
    <t>Debt (D)</t>
  </si>
  <si>
    <t>Kd</t>
  </si>
  <si>
    <t>Taxes</t>
  </si>
  <si>
    <t>Beta unleveraged</t>
  </si>
  <si>
    <t>Margin</t>
  </si>
  <si>
    <t>Depreciation</t>
  </si>
  <si>
    <t>Interest**</t>
  </si>
  <si>
    <t>Profit before taxes</t>
  </si>
  <si>
    <t>Taxes (34%)</t>
  </si>
  <si>
    <t>Profit after taxes</t>
  </si>
  <si>
    <t xml:space="preserve"> + depreciation</t>
  </si>
  <si>
    <t xml:space="preserve"> - investment in fixed assets</t>
  </si>
  <si>
    <t xml:space="preserve"> - investment in working capital</t>
  </si>
  <si>
    <t xml:space="preserve"> + increase of debt</t>
  </si>
  <si>
    <t>Equity cash flow, ECF</t>
  </si>
  <si>
    <t>Free cash flow, FCF</t>
  </si>
  <si>
    <t>g (growth)</t>
  </si>
  <si>
    <r>
      <t>Table 13. Optimal capital structure for Boeing. Valuation according to Damodaran. Data in million dollars. March of 1990.</t>
    </r>
    <r>
      <rPr>
        <sz val="10"/>
        <color indexed="8"/>
        <rFont val="Arial Narrow"/>
        <family val="2"/>
      </rPr>
      <t xml:space="preserve">    </t>
    </r>
    <r>
      <rPr>
        <i/>
        <sz val="10"/>
        <color indexed="8"/>
        <rFont val="Arial Narrow"/>
        <family val="2"/>
      </rPr>
      <t>Source: Damodaran on valuation. pp. 167-169.</t>
    </r>
  </si>
  <si>
    <t xml:space="preserve">Leveraged beta </t>
  </si>
  <si>
    <t>Market risk premium</t>
  </si>
  <si>
    <t>WACCbv</t>
  </si>
  <si>
    <t xml:space="preserve">  ROE (L6/L15)</t>
  </si>
  <si>
    <t>Market value debt ratio (leverage). (11)/(13)</t>
  </si>
  <si>
    <t>ANALISIS</t>
  </si>
  <si>
    <t>Valor de la deuda D</t>
  </si>
  <si>
    <r>
      <t>D</t>
    </r>
    <r>
      <rPr>
        <i/>
        <sz val="10"/>
        <rFont val="Arial Narrow"/>
        <family val="0"/>
      </rPr>
      <t xml:space="preserve"> Kassets </t>
    </r>
  </si>
  <si>
    <r>
      <t>D</t>
    </r>
    <r>
      <rPr>
        <sz val="10"/>
        <rFont val="Arial Narrow"/>
        <family val="2"/>
      </rPr>
      <t xml:space="preserve">  Cost of leverage</t>
    </r>
  </si>
  <si>
    <r>
      <t>D (</t>
    </r>
    <r>
      <rPr>
        <sz val="10"/>
        <rFont val="Tms Rmn"/>
        <family val="0"/>
      </rPr>
      <t>DT)</t>
    </r>
  </si>
  <si>
    <t>GOV =</t>
  </si>
  <si>
    <t xml:space="preserve">Vu = </t>
  </si>
  <si>
    <t>Ahorro impuestos por deuda/VAN</t>
  </si>
  <si>
    <t>Ku= {EKe + DKd (1-T)} / {E + D (1-T)}</t>
  </si>
  <si>
    <t>Valor de Ku que resulta con los valores del anexo:</t>
  </si>
  <si>
    <r>
      <t xml:space="preserve"> </t>
    </r>
    <r>
      <rPr>
        <sz val="10"/>
        <rFont val="Symbol"/>
        <family val="1"/>
      </rPr>
      <t>D</t>
    </r>
    <r>
      <rPr>
        <sz val="10"/>
        <rFont val="Tms Rmn"/>
        <family val="0"/>
      </rPr>
      <t xml:space="preserve">Kactivos </t>
    </r>
  </si>
  <si>
    <t>Flujos:</t>
  </si>
  <si>
    <t>Impuestos</t>
  </si>
  <si>
    <t>Deuda (intereses)</t>
  </si>
  <si>
    <t>Acciones (dividendos)</t>
  </si>
  <si>
    <t>SUMA</t>
  </si>
  <si>
    <r>
      <t>Incremental equity cash flow (</t>
    </r>
    <r>
      <rPr>
        <sz val="10"/>
        <rFont val="Symbol"/>
        <family val="0"/>
      </rPr>
      <t>D</t>
    </r>
    <r>
      <rPr>
        <sz val="10"/>
        <rFont val="Arial Narrow"/>
        <family val="0"/>
      </rPr>
      <t>Div)</t>
    </r>
  </si>
  <si>
    <t>Endeudamiento (valor contable)</t>
  </si>
  <si>
    <t>aumento Kd</t>
  </si>
  <si>
    <t>aumento Ke</t>
  </si>
  <si>
    <t>1**</t>
  </si>
  <si>
    <t>A</t>
  </si>
  <si>
    <t>B</t>
  </si>
  <si>
    <t>Máximo en 20%</t>
  </si>
  <si>
    <t>Coste de la deuda: Kd</t>
  </si>
  <si>
    <t>Coste de los recursos propios: Ke</t>
  </si>
  <si>
    <t>Inversor 1</t>
  </si>
  <si>
    <t>expect</t>
  </si>
  <si>
    <t>tasa</t>
  </si>
  <si>
    <t>precio</t>
  </si>
  <si>
    <t>Rf</t>
  </si>
  <si>
    <t>Precio mercado</t>
  </si>
  <si>
    <t xml:space="preserve"> FCF = BAIT (1-T)</t>
  </si>
  <si>
    <t>Value of Debt D</t>
  </si>
  <si>
    <t>VF = D + E = FCF / WACC = (L26/L25)</t>
  </si>
  <si>
    <t xml:space="preserve">PER </t>
  </si>
  <si>
    <t>Leverage at book value (L14/L16)</t>
  </si>
  <si>
    <t>CFd (interest)</t>
  </si>
  <si>
    <t>ECF (dividends)</t>
  </si>
  <si>
    <t>Sum = EBIT</t>
  </si>
  <si>
    <t>EBIT</t>
  </si>
  <si>
    <t>Profit before taxes (BAT)</t>
  </si>
  <si>
    <t>Profit after tax (PAT)</t>
  </si>
  <si>
    <t>Interest + dividends (L3+L7)</t>
  </si>
  <si>
    <t xml:space="preserve">Book value of Debt, N </t>
  </si>
  <si>
    <t>Book value of Equity, Ebv</t>
  </si>
  <si>
    <t>N + Ebv</t>
  </si>
  <si>
    <t xml:space="preserve">  ROA (EBIT (1-t)/L16)</t>
  </si>
  <si>
    <r>
      <t>K</t>
    </r>
    <r>
      <rPr>
        <b/>
        <sz val="8"/>
        <rFont val="Tms Rmn"/>
        <family val="0"/>
      </rPr>
      <t>taxes</t>
    </r>
  </si>
  <si>
    <t>Ktaxes to maintain the topal value of D+E+GOV en 1000000</t>
  </si>
  <si>
    <t>Cost of debt by tranches</t>
  </si>
  <si>
    <t>50.000 initial</t>
  </si>
  <si>
    <t>50.000 following</t>
  </si>
  <si>
    <t>Average</t>
  </si>
  <si>
    <t>Price per share in the repurchase to go from D=0 to actual leverage</t>
  </si>
  <si>
    <t>Price per share in the repurchase to go from previous leverage to actual leverage</t>
  </si>
  <si>
    <t>APV.  D+E = Vu + PV (debt tax shield)</t>
  </si>
  <si>
    <t>D + E</t>
  </si>
  <si>
    <t>then: PV (debt tax shield)</t>
  </si>
  <si>
    <t>debt tax shield</t>
  </si>
  <si>
    <t>Perpetuity g=0</t>
  </si>
  <si>
    <t>Profit and loss statement of year 0</t>
  </si>
  <si>
    <t>Badly done: with book values</t>
  </si>
  <si>
    <r>
      <t>R</t>
    </r>
    <r>
      <rPr>
        <vertAlign val="subscript"/>
        <sz val="10"/>
        <rFont val="Arial Narrow"/>
        <family val="2"/>
      </rPr>
      <t>F</t>
    </r>
  </si>
  <si>
    <t>Ke' (calculated with book value)</t>
  </si>
  <si>
    <t>(D+E) = PV (FCF;WACC)</t>
  </si>
  <si>
    <t>E2 = PV (ECF; Ke)</t>
  </si>
  <si>
    <t>¡¡¡¡¡¡DIFFERENT VALUES!!!!!!!!!!</t>
  </si>
  <si>
    <t>Well done: with market (valuation) values</t>
  </si>
  <si>
    <t>margin</t>
  </si>
  <si>
    <t>PBT</t>
  </si>
  <si>
    <t>Tax (34%)</t>
  </si>
  <si>
    <t>PAT</t>
  </si>
  <si>
    <t xml:space="preserve">  + deprec</t>
  </si>
  <si>
    <t xml:space="preserve">  - Investment in fixed assets</t>
  </si>
  <si>
    <t xml:space="preserve"> - ∆ WCR</t>
  </si>
  <si>
    <t xml:space="preserve"> + Increase of debt</t>
  </si>
  <si>
    <t>FCF**</t>
  </si>
  <si>
    <t>g</t>
  </si>
  <si>
    <t>Debt (M$)</t>
  </si>
  <si>
    <t xml:space="preserve">D/(D+E) </t>
  </si>
  <si>
    <t>(D/E)</t>
  </si>
  <si>
    <t>Tax</t>
  </si>
  <si>
    <t>Beta u</t>
  </si>
  <si>
    <t>Beta d</t>
  </si>
  <si>
    <t xml:space="preserve">Beta L </t>
  </si>
  <si>
    <t>WACC</t>
  </si>
  <si>
    <t xml:space="preserve"> -D = E1</t>
  </si>
  <si>
    <r>
      <t>Table 12. Optimal capital structure for Boeing. Capital structure, income statements and cash flows according to Damodaran (million dollars). March 1990.</t>
    </r>
    <r>
      <rPr>
        <sz val="10"/>
        <color indexed="8"/>
        <rFont val="Arial Narrow"/>
        <family val="2"/>
      </rPr>
      <t xml:space="preserve">   </t>
    </r>
    <r>
      <rPr>
        <i/>
        <sz val="10"/>
        <color indexed="8"/>
        <rFont val="Arial Narrow"/>
        <family val="2"/>
      </rPr>
      <t>Source: Damodaran on valuation. pp. 167-169.</t>
    </r>
  </si>
  <si>
    <r>
      <t xml:space="preserve"> -D = </t>
    </r>
    <r>
      <rPr>
        <sz val="10"/>
        <rFont val="Arial Narrow"/>
        <family val="2"/>
      </rPr>
      <t>E1</t>
    </r>
  </si>
  <si>
    <t>Book value of debt, Dbv = D</t>
  </si>
  <si>
    <t>Debt Cash Flow (Interest)</t>
  </si>
  <si>
    <t>Sum = cash flows generated by the firm = EBIT</t>
  </si>
  <si>
    <t>D + E + GOV</t>
  </si>
  <si>
    <r>
      <rPr>
        <i/>
        <sz val="10"/>
        <color indexed="8"/>
        <rFont val="Symbol"/>
        <family val="1"/>
      </rPr>
      <t>D</t>
    </r>
    <r>
      <rPr>
        <i/>
        <sz val="10"/>
        <color indexed="8"/>
        <rFont val="Arial Narrow"/>
        <family val="2"/>
      </rPr>
      <t xml:space="preserve"> Kassets</t>
    </r>
  </si>
  <si>
    <r>
      <rPr>
        <i/>
        <sz val="10"/>
        <color indexed="8"/>
        <rFont val="Symbol"/>
        <family val="1"/>
      </rPr>
      <t>D</t>
    </r>
    <r>
      <rPr>
        <i/>
        <sz val="10"/>
        <color indexed="8"/>
        <rFont val="Arial Narrow"/>
        <family val="2"/>
      </rPr>
      <t xml:space="preserve"> Cost of leverage</t>
    </r>
  </si>
  <si>
    <t>DT</t>
  </si>
  <si>
    <t>T (tax rate)</t>
  </si>
  <si>
    <r>
      <rPr>
        <sz val="10"/>
        <color indexed="8"/>
        <rFont val="Symbol"/>
        <family val="1"/>
      </rPr>
      <t>D</t>
    </r>
    <r>
      <rPr>
        <sz val="10"/>
        <color indexed="8"/>
        <rFont val="Arial Narrow"/>
        <family val="2"/>
      </rPr>
      <t xml:space="preserve"> DT</t>
    </r>
  </si>
  <si>
    <t xml:space="preserve"> First 50000</t>
  </si>
  <si>
    <t xml:space="preserve"> Next 50000</t>
  </si>
  <si>
    <t xml:space="preserve">       Average = Kd</t>
  </si>
  <si>
    <t>Table 6. Difference between Ke and Kd</t>
  </si>
  <si>
    <t>Table 7. Price per share for each step of debt level</t>
  </si>
  <si>
    <t>N</t>
  </si>
  <si>
    <t>shares bought</t>
  </si>
  <si>
    <t>E without leverage costs</t>
  </si>
  <si>
    <t>ECF without leverage costs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</si>
</sst>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_-* #,##0.0\ _€_-;\-* #,##0.0\ _€_-;_-* &quot;-&quot;??\ _€_-;_-@_-"/>
    <numFmt numFmtId="174" formatCode="0.000%"/>
    <numFmt numFmtId="175" formatCode="\1\6\2#,##0%"/>
    <numFmt numFmtId="176" formatCode="\1\1\5\1#,##0"/>
    <numFmt numFmtId="177" formatCode="[$-C0A]dddd\,\ dd&quot; de &quot;mmmm&quot; de &quot;yyyy"/>
    <numFmt numFmtId="178" formatCode="#,##0.0"/>
    <numFmt numFmtId="179" formatCode="\1\1\5\1"/>
    <numFmt numFmtId="180" formatCode="\1\6\1#,##0"/>
    <numFmt numFmtId="181" formatCode="\2\7\7\4"/>
    <numFmt numFmtId="182" formatCode="0.00000"/>
    <numFmt numFmtId="183" formatCode="_-* #,##0_P_t_s_-;\-* #,##0_P_t_s_-;_-* &quot;-&quot;_P_t_s_-;_-@_-"/>
    <numFmt numFmtId="184" formatCode="0.0%"/>
    <numFmt numFmtId="185" formatCode="0.000000"/>
    <numFmt numFmtId="186" formatCode="0.00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 Narrow"/>
      <family val="2"/>
    </font>
    <font>
      <sz val="10"/>
      <color indexed="8"/>
      <name val="Symbol"/>
      <family val="1"/>
    </font>
    <font>
      <i/>
      <sz val="10"/>
      <color indexed="8"/>
      <name val="Arial Narrow"/>
      <family val="2"/>
    </font>
    <font>
      <i/>
      <sz val="10"/>
      <color indexed="8"/>
      <name val="Times New Roman"/>
      <family val="1"/>
    </font>
    <font>
      <sz val="10"/>
      <name val="Tms Rmn"/>
      <family val="0"/>
    </font>
    <font>
      <b/>
      <sz val="10"/>
      <name val="Tms Rmn"/>
      <family val="0"/>
    </font>
    <font>
      <sz val="10"/>
      <name val="Arial Narrow"/>
      <family val="0"/>
    </font>
    <font>
      <b/>
      <sz val="10"/>
      <name val="Arial Narrow"/>
      <family val="0"/>
    </font>
    <font>
      <u val="single"/>
      <sz val="10"/>
      <name val="Arial Narrow"/>
      <family val="0"/>
    </font>
    <font>
      <b/>
      <u val="single"/>
      <sz val="10"/>
      <name val="Tms Rmn"/>
      <family val="0"/>
    </font>
    <font>
      <b/>
      <sz val="9"/>
      <name val="Arial Narrow"/>
      <family val="0"/>
    </font>
    <font>
      <i/>
      <sz val="10"/>
      <name val="Symbol"/>
      <family val="0"/>
    </font>
    <font>
      <i/>
      <sz val="10"/>
      <name val="Arial Narrow"/>
      <family val="0"/>
    </font>
    <font>
      <sz val="10"/>
      <name val="Symbol"/>
      <family val="0"/>
    </font>
    <font>
      <b/>
      <sz val="10"/>
      <name val="Symbol"/>
      <family val="1"/>
    </font>
    <font>
      <b/>
      <i/>
      <sz val="10"/>
      <name val="Tms Rmn"/>
      <family val="0"/>
    </font>
    <font>
      <u val="single"/>
      <sz val="10"/>
      <name val="Tms Rmn"/>
      <family val="0"/>
    </font>
    <font>
      <b/>
      <i/>
      <u val="single"/>
      <sz val="10"/>
      <name val="Arial Narrow"/>
      <family val="0"/>
    </font>
    <font>
      <b/>
      <sz val="10"/>
      <name val="Geneva"/>
      <family val="0"/>
    </font>
    <font>
      <b/>
      <i/>
      <u val="single"/>
      <sz val="10"/>
      <name val="Geneva"/>
      <family val="0"/>
    </font>
    <font>
      <sz val="9"/>
      <name val="Arial Narrow"/>
      <family val="0"/>
    </font>
    <font>
      <i/>
      <sz val="10"/>
      <name val="Geneva"/>
      <family val="0"/>
    </font>
    <font>
      <b/>
      <sz val="9"/>
      <name val="Tms Rmn"/>
      <family val="0"/>
    </font>
    <font>
      <b/>
      <sz val="8"/>
      <name val="Tms Rmn"/>
      <family val="0"/>
    </font>
    <font>
      <sz val="9"/>
      <name val="Tms Rmn"/>
      <family val="0"/>
    </font>
    <font>
      <vertAlign val="subscript"/>
      <sz val="10"/>
      <name val="Arial Narrow"/>
      <family val="2"/>
    </font>
    <font>
      <b/>
      <i/>
      <u val="single"/>
      <sz val="10"/>
      <name val="Tms Rmn"/>
      <family val="0"/>
    </font>
    <font>
      <i/>
      <sz val="10"/>
      <color indexed="8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u val="single"/>
      <sz val="10"/>
      <color indexed="8"/>
      <name val="Arial Narrow"/>
      <family val="2"/>
    </font>
    <font>
      <sz val="8"/>
      <color indexed="8"/>
      <name val="Arial Narrow"/>
      <family val="2"/>
    </font>
    <font>
      <b/>
      <i/>
      <u val="single"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u val="single"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i/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>
        <color rgb="FF000000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367">
    <xf numFmtId="0" fontId="0" fillId="0" borderId="0" xfId="0" applyFont="1" applyAlignment="1">
      <alignment/>
    </xf>
    <xf numFmtId="0" fontId="68" fillId="0" borderId="0" xfId="0" applyFont="1" applyAlignment="1">
      <alignment horizontal="left" vertical="center"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vertical="center"/>
    </xf>
    <xf numFmtId="9" fontId="69" fillId="0" borderId="11" xfId="0" applyNumberFormat="1" applyFont="1" applyBorder="1" applyAlignment="1">
      <alignment horizontal="right" vertical="center"/>
    </xf>
    <xf numFmtId="0" fontId="70" fillId="0" borderId="12" xfId="0" applyFont="1" applyBorder="1" applyAlignment="1">
      <alignment horizontal="center" vertical="center"/>
    </xf>
    <xf numFmtId="0" fontId="70" fillId="0" borderId="13" xfId="0" applyFont="1" applyBorder="1" applyAlignment="1">
      <alignment horizontal="right" vertical="center"/>
    </xf>
    <xf numFmtId="0" fontId="70" fillId="0" borderId="1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16" xfId="0" applyFont="1" applyBorder="1" applyAlignment="1">
      <alignment vertical="center"/>
    </xf>
    <xf numFmtId="0" fontId="70" fillId="0" borderId="17" xfId="0" applyFont="1" applyBorder="1" applyAlignment="1">
      <alignment vertical="center"/>
    </xf>
    <xf numFmtId="0" fontId="70" fillId="0" borderId="17" xfId="0" applyFont="1" applyBorder="1" applyAlignment="1">
      <alignment horizontal="right" vertical="center"/>
    </xf>
    <xf numFmtId="0" fontId="70" fillId="0" borderId="18" xfId="0" applyFont="1" applyBorder="1" applyAlignment="1">
      <alignment horizontal="right" vertical="center"/>
    </xf>
    <xf numFmtId="0" fontId="69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69" fillId="0" borderId="19" xfId="0" applyFont="1" applyBorder="1" applyAlignment="1">
      <alignment horizontal="center"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horizontal="center" vertical="center"/>
    </xf>
    <xf numFmtId="9" fontId="69" fillId="0" borderId="22" xfId="0" applyNumberFormat="1" applyFont="1" applyBorder="1" applyAlignment="1">
      <alignment horizontal="right" vertical="center"/>
    </xf>
    <xf numFmtId="0" fontId="70" fillId="0" borderId="19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9" fontId="70" fillId="0" borderId="21" xfId="0" applyNumberFormat="1" applyFont="1" applyBorder="1" applyAlignment="1">
      <alignment horizontal="center" vertical="center"/>
    </xf>
    <xf numFmtId="0" fontId="69" fillId="0" borderId="18" xfId="0" applyFont="1" applyBorder="1" applyAlignment="1">
      <alignment horizontal="right" vertical="center"/>
    </xf>
    <xf numFmtId="0" fontId="70" fillId="0" borderId="24" xfId="0" applyFont="1" applyBorder="1" applyAlignment="1">
      <alignment horizontal="center" vertical="center"/>
    </xf>
    <xf numFmtId="0" fontId="70" fillId="0" borderId="2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0" fontId="9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9" fontId="10" fillId="0" borderId="26" xfId="0" applyNumberFormat="1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10" fontId="10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10" fontId="10" fillId="0" borderId="17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7" fillId="0" borderId="17" xfId="0" applyFont="1" applyBorder="1" applyAlignment="1">
      <alignment/>
    </xf>
    <xf numFmtId="10" fontId="9" fillId="0" borderId="0" xfId="0" applyNumberFormat="1" applyFont="1" applyBorder="1" applyAlignment="1">
      <alignment/>
    </xf>
    <xf numFmtId="10" fontId="9" fillId="0" borderId="17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10" fillId="0" borderId="17" xfId="0" applyFont="1" applyBorder="1" applyAlignment="1">
      <alignment/>
    </xf>
    <xf numFmtId="172" fontId="9" fillId="0" borderId="0" xfId="0" applyNumberFormat="1" applyFont="1" applyBorder="1" applyAlignment="1">
      <alignment/>
    </xf>
    <xf numFmtId="182" fontId="9" fillId="0" borderId="0" xfId="0" applyNumberFormat="1" applyFont="1" applyBorder="1" applyAlignment="1">
      <alignment/>
    </xf>
    <xf numFmtId="9" fontId="9" fillId="0" borderId="0" xfId="0" applyNumberFormat="1" applyFont="1" applyBorder="1" applyAlignment="1">
      <alignment/>
    </xf>
    <xf numFmtId="0" fontId="9" fillId="0" borderId="30" xfId="0" applyFont="1" applyBorder="1" applyAlignment="1">
      <alignment horizontal="center"/>
    </xf>
    <xf numFmtId="0" fontId="7" fillId="0" borderId="11" xfId="0" applyFont="1" applyBorder="1" applyAlignment="1">
      <alignment/>
    </xf>
    <xf numFmtId="10" fontId="9" fillId="0" borderId="11" xfId="0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28" xfId="0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32" xfId="0" applyFont="1" applyBorder="1" applyAlignment="1">
      <alignment/>
    </xf>
    <xf numFmtId="3" fontId="8" fillId="0" borderId="32" xfId="0" applyNumberFormat="1" applyFont="1" applyBorder="1" applyAlignment="1">
      <alignment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3" fontId="9" fillId="0" borderId="34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0" fontId="10" fillId="0" borderId="30" xfId="0" applyFont="1" applyBorder="1" applyAlignment="1">
      <alignment horizontal="center"/>
    </xf>
    <xf numFmtId="0" fontId="13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0" fontId="10" fillId="0" borderId="0" xfId="0" applyFont="1" applyBorder="1" applyAlignment="1">
      <alignment/>
    </xf>
    <xf numFmtId="10" fontId="10" fillId="0" borderId="0" xfId="53" applyNumberFormat="1" applyFont="1" applyBorder="1" applyAlignment="1">
      <alignment/>
    </xf>
    <xf numFmtId="10" fontId="10" fillId="0" borderId="29" xfId="53" applyNumberFormat="1" applyFont="1" applyBorder="1" applyAlignment="1">
      <alignment/>
    </xf>
    <xf numFmtId="0" fontId="14" fillId="0" borderId="26" xfId="0" applyFont="1" applyBorder="1" applyAlignment="1">
      <alignment/>
    </xf>
    <xf numFmtId="3" fontId="15" fillId="0" borderId="26" xfId="0" applyNumberFormat="1" applyFont="1" applyBorder="1" applyAlignment="1">
      <alignment/>
    </xf>
    <xf numFmtId="10" fontId="15" fillId="0" borderId="26" xfId="53" applyNumberFormat="1" applyFont="1" applyBorder="1" applyAlignment="1">
      <alignment/>
    </xf>
    <xf numFmtId="10" fontId="15" fillId="0" borderId="37" xfId="53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16" fillId="0" borderId="39" xfId="0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8" fillId="0" borderId="39" xfId="0" applyFont="1" applyBorder="1" applyAlignment="1">
      <alignment/>
    </xf>
    <xf numFmtId="10" fontId="7" fillId="0" borderId="39" xfId="0" applyNumberFormat="1" applyFont="1" applyBorder="1" applyAlignment="1">
      <alignment/>
    </xf>
    <xf numFmtId="0" fontId="18" fillId="0" borderId="0" xfId="0" applyFont="1" applyAlignment="1">
      <alignment/>
    </xf>
    <xf numFmtId="10" fontId="7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7" fillId="0" borderId="39" xfId="0" applyFont="1" applyBorder="1" applyAlignment="1">
      <alignment/>
    </xf>
    <xf numFmtId="0" fontId="0" fillId="0" borderId="39" xfId="0" applyBorder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7" fillId="0" borderId="39" xfId="0" applyNumberFormat="1" applyFont="1" applyBorder="1" applyAlignment="1">
      <alignment/>
    </xf>
    <xf numFmtId="2" fontId="8" fillId="0" borderId="39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0" fontId="18" fillId="0" borderId="3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0" fontId="7" fillId="0" borderId="0" xfId="53" applyNumberFormat="1" applyFont="1" applyBorder="1" applyAlignment="1">
      <alignment/>
    </xf>
    <xf numFmtId="10" fontId="18" fillId="0" borderId="0" xfId="53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6" xfId="0" applyFont="1" applyBorder="1" applyAlignment="1">
      <alignment/>
    </xf>
    <xf numFmtId="10" fontId="9" fillId="0" borderId="26" xfId="0" applyNumberFormat="1" applyFont="1" applyBorder="1" applyAlignment="1">
      <alignment/>
    </xf>
    <xf numFmtId="10" fontId="9" fillId="0" borderId="37" xfId="0" applyNumberFormat="1" applyFont="1" applyBorder="1" applyAlignment="1">
      <alignment/>
    </xf>
    <xf numFmtId="0" fontId="20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9" xfId="0" applyFont="1" applyBorder="1" applyAlignment="1">
      <alignment/>
    </xf>
    <xf numFmtId="10" fontId="2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9" fontId="10" fillId="0" borderId="37" xfId="0" applyNumberFormat="1" applyFont="1" applyBorder="1" applyAlignment="1">
      <alignment/>
    </xf>
    <xf numFmtId="10" fontId="10" fillId="0" borderId="34" xfId="0" applyNumberFormat="1" applyFont="1" applyBorder="1" applyAlignment="1">
      <alignment/>
    </xf>
    <xf numFmtId="10" fontId="10" fillId="0" borderId="35" xfId="0" applyNumberFormat="1" applyFont="1" applyBorder="1" applyAlignment="1">
      <alignment/>
    </xf>
    <xf numFmtId="0" fontId="9" fillId="0" borderId="38" xfId="0" applyFont="1" applyBorder="1" applyAlignment="1">
      <alignment horizontal="center"/>
    </xf>
    <xf numFmtId="10" fontId="10" fillId="0" borderId="39" xfId="0" applyNumberFormat="1" applyFont="1" applyBorder="1" applyAlignment="1">
      <alignment/>
    </xf>
    <xf numFmtId="10" fontId="10" fillId="0" borderId="40" xfId="0" applyNumberFormat="1" applyFont="1" applyBorder="1" applyAlignment="1">
      <alignment/>
    </xf>
    <xf numFmtId="171" fontId="9" fillId="0" borderId="26" xfId="0" applyNumberFormat="1" applyFont="1" applyBorder="1" applyAlignment="1">
      <alignment/>
    </xf>
    <xf numFmtId="171" fontId="10" fillId="0" borderId="26" xfId="0" applyNumberFormat="1" applyFont="1" applyBorder="1" applyAlignment="1">
      <alignment/>
    </xf>
    <xf numFmtId="171" fontId="9" fillId="0" borderId="37" xfId="0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174" fontId="0" fillId="0" borderId="17" xfId="0" applyNumberFormat="1" applyBorder="1" applyAlignment="1">
      <alignment/>
    </xf>
    <xf numFmtId="174" fontId="0" fillId="0" borderId="0" xfId="0" applyNumberFormat="1" applyAlignment="1">
      <alignment/>
    </xf>
    <xf numFmtId="17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Continuous"/>
    </xf>
    <xf numFmtId="3" fontId="9" fillId="0" borderId="31" xfId="0" applyNumberFormat="1" applyFont="1" applyBorder="1" applyAlignment="1">
      <alignment/>
    </xf>
    <xf numFmtId="10" fontId="10" fillId="0" borderId="29" xfId="0" applyNumberFormat="1" applyFont="1" applyBorder="1" applyAlignment="1">
      <alignment/>
    </xf>
    <xf numFmtId="10" fontId="10" fillId="0" borderId="31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10" fontId="9" fillId="0" borderId="29" xfId="0" applyNumberFormat="1" applyFont="1" applyBorder="1" applyAlignment="1">
      <alignment/>
    </xf>
    <xf numFmtId="10" fontId="9" fillId="0" borderId="31" xfId="0" applyNumberFormat="1" applyFont="1" applyBorder="1" applyAlignment="1">
      <alignment/>
    </xf>
    <xf numFmtId="0" fontId="9" fillId="0" borderId="31" xfId="0" applyFont="1" applyBorder="1" applyAlignment="1">
      <alignment/>
    </xf>
    <xf numFmtId="172" fontId="9" fillId="0" borderId="29" xfId="0" applyNumberFormat="1" applyFont="1" applyBorder="1" applyAlignment="1">
      <alignment/>
    </xf>
    <xf numFmtId="182" fontId="9" fillId="0" borderId="29" xfId="0" applyNumberFormat="1" applyFont="1" applyBorder="1" applyAlignment="1">
      <alignment/>
    </xf>
    <xf numFmtId="9" fontId="9" fillId="0" borderId="29" xfId="0" applyNumberFormat="1" applyFont="1" applyBorder="1" applyAlignment="1">
      <alignment/>
    </xf>
    <xf numFmtId="10" fontId="9" fillId="0" borderId="36" xfId="0" applyNumberFormat="1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7" xfId="0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25" xfId="0" applyFont="1" applyBorder="1" applyAlignment="1">
      <alignment horizontal="center"/>
    </xf>
    <xf numFmtId="9" fontId="8" fillId="0" borderId="26" xfId="0" applyNumberFormat="1" applyFont="1" applyBorder="1" applyAlignment="1">
      <alignment/>
    </xf>
    <xf numFmtId="9" fontId="8" fillId="0" borderId="37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10" fontId="8" fillId="0" borderId="29" xfId="0" applyNumberFormat="1" applyFont="1" applyBorder="1" applyAlignment="1">
      <alignment/>
    </xf>
    <xf numFmtId="10" fontId="8" fillId="0" borderId="17" xfId="0" applyNumberFormat="1" applyFont="1" applyBorder="1" applyAlignment="1">
      <alignment/>
    </xf>
    <xf numFmtId="10" fontId="8" fillId="0" borderId="31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29" xfId="0" applyNumberFormat="1" applyFont="1" applyBorder="1" applyAlignment="1">
      <alignment/>
    </xf>
    <xf numFmtId="10" fontId="7" fillId="0" borderId="17" xfId="0" applyNumberFormat="1" applyFont="1" applyBorder="1" applyAlignment="1">
      <alignment/>
    </xf>
    <xf numFmtId="10" fontId="7" fillId="0" borderId="31" xfId="0" applyNumberFormat="1" applyFont="1" applyBorder="1" applyAlignment="1">
      <alignment/>
    </xf>
    <xf numFmtId="171" fontId="7" fillId="0" borderId="17" xfId="0" applyNumberFormat="1" applyFont="1" applyBorder="1" applyAlignment="1">
      <alignment/>
    </xf>
    <xf numFmtId="171" fontId="7" fillId="0" borderId="31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29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82" fontId="7" fillId="0" borderId="29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9" fontId="7" fillId="0" borderId="29" xfId="0" applyNumberFormat="1" applyFont="1" applyBorder="1" applyAlignment="1">
      <alignment/>
    </xf>
    <xf numFmtId="0" fontId="7" fillId="0" borderId="30" xfId="0" applyFont="1" applyBorder="1" applyAlignment="1">
      <alignment horizontal="center"/>
    </xf>
    <xf numFmtId="10" fontId="7" fillId="0" borderId="11" xfId="0" applyNumberFormat="1" applyFont="1" applyBorder="1" applyAlignment="1">
      <alignment/>
    </xf>
    <xf numFmtId="10" fontId="7" fillId="0" borderId="36" xfId="0" applyNumberFormat="1" applyFont="1" applyBorder="1" applyAlignment="1">
      <alignment/>
    </xf>
    <xf numFmtId="0" fontId="9" fillId="0" borderId="33" xfId="0" applyFont="1" applyBorder="1" applyAlignment="1">
      <alignment horizontal="center"/>
    </xf>
    <xf numFmtId="3" fontId="9" fillId="0" borderId="34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10" fillId="0" borderId="30" xfId="0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9" fontId="25" fillId="0" borderId="0" xfId="0" applyNumberFormat="1" applyFont="1" applyAlignment="1">
      <alignment/>
    </xf>
    <xf numFmtId="9" fontId="27" fillId="0" borderId="0" xfId="0" applyNumberFormat="1" applyFont="1" applyAlignment="1">
      <alignment/>
    </xf>
    <xf numFmtId="10" fontId="27" fillId="0" borderId="0" xfId="53" applyNumberFormat="1" applyFont="1" applyAlignment="1">
      <alignment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1" fontId="8" fillId="0" borderId="41" xfId="48" applyNumberFormat="1" applyFont="1" applyBorder="1" applyAlignment="1">
      <alignment horizontal="center"/>
    </xf>
    <xf numFmtId="9" fontId="8" fillId="0" borderId="11" xfId="0" applyNumberFormat="1" applyFont="1" applyBorder="1" applyAlignment="1">
      <alignment/>
    </xf>
    <xf numFmtId="9" fontId="8" fillId="0" borderId="22" xfId="0" applyNumberFormat="1" applyFont="1" applyBorder="1" applyAlignment="1">
      <alignment/>
    </xf>
    <xf numFmtId="1" fontId="8" fillId="0" borderId="42" xfId="0" applyNumberFormat="1" applyFont="1" applyBorder="1" applyAlignment="1">
      <alignment horizontal="center"/>
    </xf>
    <xf numFmtId="184" fontId="7" fillId="0" borderId="0" xfId="53" applyNumberFormat="1" applyFont="1" applyBorder="1" applyAlignment="1">
      <alignment/>
    </xf>
    <xf numFmtId="184" fontId="7" fillId="0" borderId="29" xfId="53" applyNumberFormat="1" applyFont="1" applyBorder="1" applyAlignment="1">
      <alignment/>
    </xf>
    <xf numFmtId="1" fontId="8" fillId="0" borderId="43" xfId="0" applyNumberFormat="1" applyFont="1" applyBorder="1" applyAlignment="1">
      <alignment horizontal="center"/>
    </xf>
    <xf numFmtId="0" fontId="7" fillId="0" borderId="31" xfId="0" applyFont="1" applyBorder="1" applyAlignment="1">
      <alignment/>
    </xf>
    <xf numFmtId="0" fontId="8" fillId="0" borderId="42" xfId="0" applyFont="1" applyBorder="1" applyAlignment="1">
      <alignment horizontal="center"/>
    </xf>
    <xf numFmtId="0" fontId="29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0" fontId="8" fillId="0" borderId="28" xfId="0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10" fontId="7" fillId="0" borderId="17" xfId="53" applyNumberFormat="1" applyFont="1" applyBorder="1" applyAlignment="1">
      <alignment/>
    </xf>
    <xf numFmtId="10" fontId="7" fillId="0" borderId="31" xfId="53" applyNumberFormat="1" applyFont="1" applyBorder="1" applyAlignment="1">
      <alignment/>
    </xf>
    <xf numFmtId="1" fontId="8" fillId="0" borderId="10" xfId="48" applyNumberFormat="1" applyFont="1" applyBorder="1" applyAlignment="1">
      <alignment horizontal="center"/>
    </xf>
    <xf numFmtId="1" fontId="10" fillId="0" borderId="44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72" fontId="9" fillId="0" borderId="29" xfId="0" applyNumberFormat="1" applyFont="1" applyBorder="1" applyAlignment="1">
      <alignment/>
    </xf>
    <xf numFmtId="1" fontId="10" fillId="0" borderId="42" xfId="0" applyNumberFormat="1" applyFont="1" applyBorder="1" applyAlignment="1">
      <alignment horizontal="center"/>
    </xf>
    <xf numFmtId="184" fontId="9" fillId="0" borderId="0" xfId="53" applyNumberFormat="1" applyFont="1" applyBorder="1" applyAlignment="1">
      <alignment/>
    </xf>
    <xf numFmtId="184" fontId="9" fillId="0" borderId="29" xfId="53" applyNumberFormat="1" applyFont="1" applyBorder="1" applyAlignment="1">
      <alignment/>
    </xf>
    <xf numFmtId="0" fontId="10" fillId="0" borderId="0" xfId="0" applyFont="1" applyBorder="1" applyAlignment="1">
      <alignment/>
    </xf>
    <xf numFmtId="10" fontId="10" fillId="0" borderId="0" xfId="53" applyNumberFormat="1" applyFont="1" applyBorder="1" applyAlignment="1">
      <alignment/>
    </xf>
    <xf numFmtId="10" fontId="10" fillId="0" borderId="29" xfId="53" applyNumberFormat="1" applyFont="1" applyBorder="1" applyAlignment="1">
      <alignment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1" fontId="10" fillId="0" borderId="45" xfId="0" applyNumberFormat="1" applyFont="1" applyBorder="1" applyAlignment="1">
      <alignment horizontal="center"/>
    </xf>
    <xf numFmtId="0" fontId="10" fillId="0" borderId="39" xfId="0" applyFont="1" applyBorder="1" applyAlignment="1">
      <alignment/>
    </xf>
    <xf numFmtId="3" fontId="10" fillId="0" borderId="39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7" xfId="0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29" xfId="0" applyNumberFormat="1" applyFont="1" applyBorder="1" applyAlignment="1">
      <alignment/>
    </xf>
    <xf numFmtId="0" fontId="8" fillId="0" borderId="38" xfId="0" applyFont="1" applyBorder="1" applyAlignment="1">
      <alignment/>
    </xf>
    <xf numFmtId="178" fontId="7" fillId="0" borderId="39" xfId="0" applyNumberFormat="1" applyFont="1" applyBorder="1" applyAlignment="1">
      <alignment/>
    </xf>
    <xf numFmtId="178" fontId="7" fillId="0" borderId="40" xfId="0" applyNumberFormat="1" applyFont="1" applyBorder="1" applyAlignment="1">
      <alignment/>
    </xf>
    <xf numFmtId="0" fontId="29" fillId="0" borderId="0" xfId="0" applyFont="1" applyAlignment="1">
      <alignment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0" fontId="7" fillId="0" borderId="0" xfId="53" applyNumberFormat="1" applyFont="1" applyAlignment="1">
      <alignment/>
    </xf>
    <xf numFmtId="9" fontId="8" fillId="0" borderId="0" xfId="0" applyNumberFormat="1" applyFont="1" applyAlignment="1">
      <alignment/>
    </xf>
    <xf numFmtId="184" fontId="7" fillId="0" borderId="0" xfId="53" applyNumberFormat="1" applyFont="1" applyAlignment="1">
      <alignment/>
    </xf>
    <xf numFmtId="10" fontId="8" fillId="0" borderId="0" xfId="53" applyNumberFormat="1" applyFont="1" applyAlignment="1">
      <alignment/>
    </xf>
    <xf numFmtId="0" fontId="71" fillId="0" borderId="0" xfId="0" applyFont="1" applyAlignment="1">
      <alignment/>
    </xf>
    <xf numFmtId="10" fontId="70" fillId="0" borderId="13" xfId="0" applyNumberFormat="1" applyFont="1" applyBorder="1" applyAlignment="1">
      <alignment horizontal="right" vertical="center"/>
    </xf>
    <xf numFmtId="10" fontId="70" fillId="0" borderId="16" xfId="0" applyNumberFormat="1" applyFont="1" applyBorder="1" applyAlignment="1">
      <alignment horizontal="right" vertical="center"/>
    </xf>
    <xf numFmtId="10" fontId="70" fillId="0" borderId="46" xfId="0" applyNumberFormat="1" applyFont="1" applyBorder="1" applyAlignment="1">
      <alignment horizontal="right" vertical="center"/>
    </xf>
    <xf numFmtId="2" fontId="70" fillId="0" borderId="16" xfId="0" applyNumberFormat="1" applyFont="1" applyBorder="1" applyAlignment="1">
      <alignment horizontal="right" vertical="center"/>
    </xf>
    <xf numFmtId="1" fontId="70" fillId="0" borderId="16" xfId="0" applyNumberFormat="1" applyFont="1" applyBorder="1" applyAlignment="1">
      <alignment horizontal="right" vertical="center"/>
    </xf>
    <xf numFmtId="2" fontId="70" fillId="0" borderId="13" xfId="0" applyNumberFormat="1" applyFont="1" applyBorder="1" applyAlignment="1">
      <alignment horizontal="right" vertical="center"/>
    </xf>
    <xf numFmtId="1" fontId="70" fillId="0" borderId="13" xfId="0" applyNumberFormat="1" applyFont="1" applyBorder="1" applyAlignment="1">
      <alignment horizontal="right" vertical="center"/>
    </xf>
    <xf numFmtId="2" fontId="69" fillId="0" borderId="16" xfId="0" applyNumberFormat="1" applyFont="1" applyBorder="1" applyAlignment="1">
      <alignment horizontal="right" vertical="center"/>
    </xf>
    <xf numFmtId="1" fontId="70" fillId="0" borderId="17" xfId="0" applyNumberFormat="1" applyFont="1" applyBorder="1" applyAlignment="1">
      <alignment horizontal="right" vertical="center"/>
    </xf>
    <xf numFmtId="0" fontId="70" fillId="0" borderId="0" xfId="0" applyFont="1" applyBorder="1" applyAlignment="1">
      <alignment vertical="center"/>
    </xf>
    <xf numFmtId="1" fontId="70" fillId="0" borderId="0" xfId="0" applyNumberFormat="1" applyFont="1" applyBorder="1" applyAlignment="1">
      <alignment horizontal="right" vertical="center"/>
    </xf>
    <xf numFmtId="0" fontId="70" fillId="0" borderId="20" xfId="0" applyFont="1" applyBorder="1" applyAlignment="1">
      <alignment horizontal="right" vertical="center"/>
    </xf>
    <xf numFmtId="1" fontId="70" fillId="0" borderId="20" xfId="0" applyNumberFormat="1" applyFont="1" applyBorder="1" applyAlignment="1">
      <alignment horizontal="right" vertical="center"/>
    </xf>
    <xf numFmtId="1" fontId="70" fillId="0" borderId="23" xfId="0" applyNumberFormat="1" applyFont="1" applyBorder="1" applyAlignment="1">
      <alignment horizontal="right" vertical="center"/>
    </xf>
    <xf numFmtId="1" fontId="73" fillId="0" borderId="0" xfId="0" applyNumberFormat="1" applyFont="1" applyBorder="1" applyAlignment="1">
      <alignment horizontal="right" vertical="center"/>
    </xf>
    <xf numFmtId="1" fontId="73" fillId="0" borderId="13" xfId="0" applyNumberFormat="1" applyFont="1" applyBorder="1" applyAlignment="1">
      <alignment horizontal="right" vertical="center"/>
    </xf>
    <xf numFmtId="1" fontId="70" fillId="0" borderId="46" xfId="0" applyNumberFormat="1" applyFont="1" applyBorder="1" applyAlignment="1">
      <alignment horizontal="right" vertical="center"/>
    </xf>
    <xf numFmtId="10" fontId="70" fillId="0" borderId="0" xfId="0" applyNumberFormat="1" applyFont="1" applyBorder="1" applyAlignment="1">
      <alignment horizontal="right" vertical="center"/>
    </xf>
    <xf numFmtId="0" fontId="70" fillId="0" borderId="0" xfId="0" applyFont="1" applyBorder="1" applyAlignment="1">
      <alignment horizontal="right" vertical="center"/>
    </xf>
    <xf numFmtId="2" fontId="70" fillId="0" borderId="46" xfId="0" applyNumberFormat="1" applyFont="1" applyBorder="1" applyAlignment="1">
      <alignment horizontal="right" vertical="center"/>
    </xf>
    <xf numFmtId="2" fontId="70" fillId="0" borderId="0" xfId="0" applyNumberFormat="1" applyFont="1" applyBorder="1" applyAlignment="1">
      <alignment horizontal="right" vertical="center"/>
    </xf>
    <xf numFmtId="4" fontId="70" fillId="0" borderId="0" xfId="0" applyNumberFormat="1" applyFont="1" applyBorder="1" applyAlignment="1">
      <alignment horizontal="right" vertical="center"/>
    </xf>
    <xf numFmtId="4" fontId="70" fillId="0" borderId="13" xfId="0" applyNumberFormat="1" applyFont="1" applyBorder="1" applyAlignment="1">
      <alignment horizontal="right" vertical="center"/>
    </xf>
    <xf numFmtId="10" fontId="69" fillId="0" borderId="0" xfId="0" applyNumberFormat="1" applyFont="1" applyBorder="1" applyAlignment="1">
      <alignment horizontal="right" vertical="center"/>
    </xf>
    <xf numFmtId="1" fontId="70" fillId="0" borderId="18" xfId="0" applyNumberFormat="1" applyFont="1" applyBorder="1" applyAlignment="1">
      <alignment horizontal="right" vertical="center"/>
    </xf>
    <xf numFmtId="0" fontId="69" fillId="0" borderId="47" xfId="0" applyFont="1" applyBorder="1" applyAlignment="1">
      <alignment vertical="center"/>
    </xf>
    <xf numFmtId="10" fontId="69" fillId="0" borderId="13" xfId="0" applyNumberFormat="1" applyFont="1" applyBorder="1" applyAlignment="1">
      <alignment horizontal="right" vertical="center"/>
    </xf>
    <xf numFmtId="0" fontId="70" fillId="0" borderId="23" xfId="0" applyFont="1" applyBorder="1" applyAlignment="1">
      <alignment horizontal="right" vertical="center"/>
    </xf>
    <xf numFmtId="1" fontId="69" fillId="0" borderId="17" xfId="0" applyNumberFormat="1" applyFont="1" applyBorder="1" applyAlignment="1">
      <alignment horizontal="right" vertical="center"/>
    </xf>
    <xf numFmtId="0" fontId="69" fillId="0" borderId="10" xfId="0" applyFont="1" applyBorder="1" applyAlignment="1">
      <alignment vertical="center"/>
    </xf>
    <xf numFmtId="0" fontId="74" fillId="0" borderId="0" xfId="0" applyFont="1" applyAlignment="1">
      <alignment/>
    </xf>
    <xf numFmtId="0" fontId="69" fillId="0" borderId="19" xfId="0" applyFont="1" applyBorder="1" applyAlignment="1">
      <alignment vertical="center"/>
    </xf>
    <xf numFmtId="0" fontId="71" fillId="0" borderId="17" xfId="0" applyFont="1" applyBorder="1" applyAlignment="1">
      <alignment/>
    </xf>
    <xf numFmtId="1" fontId="71" fillId="0" borderId="17" xfId="0" applyNumberFormat="1" applyFont="1" applyBorder="1" applyAlignment="1">
      <alignment/>
    </xf>
    <xf numFmtId="1" fontId="71" fillId="0" borderId="18" xfId="0" applyNumberFormat="1" applyFont="1" applyBorder="1" applyAlignment="1">
      <alignment/>
    </xf>
    <xf numFmtId="0" fontId="71" fillId="0" borderId="19" xfId="0" applyFont="1" applyBorder="1" applyAlignment="1">
      <alignment horizontal="center"/>
    </xf>
    <xf numFmtId="0" fontId="71" fillId="0" borderId="20" xfId="0" applyFont="1" applyBorder="1" applyAlignment="1">
      <alignment/>
    </xf>
    <xf numFmtId="0" fontId="71" fillId="0" borderId="23" xfId="0" applyFont="1" applyBorder="1" applyAlignment="1">
      <alignment/>
    </xf>
    <xf numFmtId="0" fontId="71" fillId="0" borderId="12" xfId="0" applyFont="1" applyBorder="1" applyAlignment="1">
      <alignment horizontal="center"/>
    </xf>
    <xf numFmtId="0" fontId="71" fillId="0" borderId="0" xfId="0" applyFont="1" applyBorder="1" applyAlignment="1">
      <alignment/>
    </xf>
    <xf numFmtId="1" fontId="71" fillId="0" borderId="0" xfId="0" applyNumberFormat="1" applyFont="1" applyBorder="1" applyAlignment="1">
      <alignment/>
    </xf>
    <xf numFmtId="1" fontId="71" fillId="0" borderId="13" xfId="0" applyNumberFormat="1" applyFont="1" applyBorder="1" applyAlignment="1">
      <alignment/>
    </xf>
    <xf numFmtId="0" fontId="71" fillId="0" borderId="15" xfId="0" applyFont="1" applyBorder="1" applyAlignment="1">
      <alignment horizontal="center"/>
    </xf>
    <xf numFmtId="10" fontId="71" fillId="0" borderId="17" xfId="53" applyNumberFormat="1" applyFont="1" applyBorder="1" applyAlignment="1">
      <alignment/>
    </xf>
    <xf numFmtId="10" fontId="71" fillId="0" borderId="18" xfId="53" applyNumberFormat="1" applyFont="1" applyBorder="1" applyAlignment="1">
      <alignment/>
    </xf>
    <xf numFmtId="0" fontId="71" fillId="0" borderId="48" xfId="0" applyFont="1" applyBorder="1" applyAlignment="1">
      <alignment horizontal="center"/>
    </xf>
    <xf numFmtId="0" fontId="74" fillId="0" borderId="48" xfId="0" applyFont="1" applyBorder="1" applyAlignment="1">
      <alignment/>
    </xf>
    <xf numFmtId="10" fontId="74" fillId="0" borderId="48" xfId="0" applyNumberFormat="1" applyFont="1" applyBorder="1" applyAlignment="1">
      <alignment/>
    </xf>
    <xf numFmtId="0" fontId="69" fillId="0" borderId="20" xfId="0" applyFont="1" applyBorder="1" applyAlignment="1">
      <alignment horizontal="right" vertical="center"/>
    </xf>
    <xf numFmtId="1" fontId="69" fillId="0" borderId="20" xfId="0" applyNumberFormat="1" applyFont="1" applyBorder="1" applyAlignment="1">
      <alignment horizontal="right" vertical="center"/>
    </xf>
    <xf numFmtId="1" fontId="69" fillId="0" borderId="23" xfId="0" applyNumberFormat="1" applyFont="1" applyBorder="1" applyAlignment="1">
      <alignment horizontal="right" vertical="center"/>
    </xf>
    <xf numFmtId="9" fontId="71" fillId="0" borderId="0" xfId="0" applyNumberFormat="1" applyFont="1" applyAlignment="1">
      <alignment/>
    </xf>
    <xf numFmtId="0" fontId="75" fillId="0" borderId="0" xfId="0" applyFont="1" applyAlignment="1">
      <alignment/>
    </xf>
    <xf numFmtId="0" fontId="75" fillId="0" borderId="12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1" fillId="0" borderId="20" xfId="0" applyNumberFormat="1" applyFont="1" applyBorder="1" applyAlignment="1">
      <alignment/>
    </xf>
    <xf numFmtId="1" fontId="71" fillId="0" borderId="23" xfId="0" applyNumberFormat="1" applyFont="1" applyBorder="1" applyAlignment="1">
      <alignment/>
    </xf>
    <xf numFmtId="0" fontId="75" fillId="0" borderId="13" xfId="0" applyFont="1" applyBorder="1" applyAlignment="1">
      <alignment/>
    </xf>
    <xf numFmtId="0" fontId="71" fillId="0" borderId="18" xfId="0" applyFont="1" applyBorder="1" applyAlignment="1">
      <alignment/>
    </xf>
    <xf numFmtId="1" fontId="74" fillId="0" borderId="0" xfId="0" applyNumberFormat="1" applyFont="1" applyBorder="1" applyAlignment="1">
      <alignment/>
    </xf>
    <xf numFmtId="1" fontId="74" fillId="0" borderId="13" xfId="0" applyNumberFormat="1" applyFont="1" applyBorder="1" applyAlignment="1">
      <alignment/>
    </xf>
    <xf numFmtId="0" fontId="71" fillId="0" borderId="33" xfId="0" applyFont="1" applyBorder="1" applyAlignment="1">
      <alignment horizontal="center"/>
    </xf>
    <xf numFmtId="0" fontId="71" fillId="0" borderId="27" xfId="0" applyFont="1" applyBorder="1" applyAlignment="1">
      <alignment horizontal="center"/>
    </xf>
    <xf numFmtId="10" fontId="71" fillId="0" borderId="0" xfId="53" applyNumberFormat="1" applyFont="1" applyBorder="1" applyAlignment="1">
      <alignment/>
    </xf>
    <xf numFmtId="10" fontId="71" fillId="0" borderId="0" xfId="0" applyNumberFormat="1" applyFont="1" applyBorder="1" applyAlignment="1">
      <alignment/>
    </xf>
    <xf numFmtId="10" fontId="71" fillId="0" borderId="29" xfId="0" applyNumberFormat="1" applyFont="1" applyBorder="1" applyAlignment="1">
      <alignment/>
    </xf>
    <xf numFmtId="0" fontId="71" fillId="0" borderId="25" xfId="0" applyFont="1" applyBorder="1" applyAlignment="1">
      <alignment horizontal="center"/>
    </xf>
    <xf numFmtId="0" fontId="71" fillId="0" borderId="26" xfId="0" applyFont="1" applyBorder="1" applyAlignment="1">
      <alignment/>
    </xf>
    <xf numFmtId="10" fontId="71" fillId="0" borderId="26" xfId="0" applyNumberFormat="1" applyFont="1" applyBorder="1" applyAlignment="1">
      <alignment/>
    </xf>
    <xf numFmtId="10" fontId="71" fillId="0" borderId="37" xfId="0" applyNumberFormat="1" applyFont="1" applyBorder="1" applyAlignment="1">
      <alignment/>
    </xf>
    <xf numFmtId="0" fontId="69" fillId="0" borderId="11" xfId="0" applyFont="1" applyBorder="1" applyAlignment="1">
      <alignment horizontal="right" vertical="center"/>
    </xf>
    <xf numFmtId="1" fontId="69" fillId="0" borderId="11" xfId="0" applyNumberFormat="1" applyFont="1" applyBorder="1" applyAlignment="1">
      <alignment horizontal="right" vertical="center"/>
    </xf>
    <xf numFmtId="1" fontId="69" fillId="0" borderId="22" xfId="0" applyNumberFormat="1" applyFont="1" applyBorder="1" applyAlignment="1">
      <alignment horizontal="right" vertical="center"/>
    </xf>
    <xf numFmtId="10" fontId="72" fillId="0" borderId="29" xfId="0" applyNumberFormat="1" applyFont="1" applyBorder="1" applyAlignment="1">
      <alignment/>
    </xf>
    <xf numFmtId="10" fontId="72" fillId="0" borderId="29" xfId="53" applyNumberFormat="1" applyFont="1" applyBorder="1" applyAlignment="1">
      <alignment/>
    </xf>
    <xf numFmtId="0" fontId="76" fillId="0" borderId="20" xfId="0" applyFont="1" applyBorder="1" applyAlignment="1">
      <alignment vertical="center"/>
    </xf>
    <xf numFmtId="10" fontId="77" fillId="0" borderId="17" xfId="53" applyNumberFormat="1" applyFont="1" applyBorder="1" applyAlignment="1">
      <alignment horizontal="right" vertical="center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vertical="center"/>
    </xf>
    <xf numFmtId="10" fontId="70" fillId="0" borderId="11" xfId="0" applyNumberFormat="1" applyFont="1" applyBorder="1" applyAlignment="1">
      <alignment horizontal="right" vertical="center"/>
    </xf>
    <xf numFmtId="10" fontId="70" fillId="0" borderId="22" xfId="0" applyNumberFormat="1" applyFont="1" applyBorder="1" applyAlignment="1">
      <alignment horizontal="right" vertical="center"/>
    </xf>
    <xf numFmtId="0" fontId="70" fillId="0" borderId="49" xfId="0" applyFont="1" applyBorder="1" applyAlignment="1">
      <alignment horizontal="center" vertical="center"/>
    </xf>
    <xf numFmtId="0" fontId="70" fillId="0" borderId="49" xfId="0" applyFont="1" applyBorder="1" applyAlignment="1">
      <alignment vertical="center"/>
    </xf>
    <xf numFmtId="10" fontId="71" fillId="0" borderId="49" xfId="0" applyNumberFormat="1" applyFont="1" applyBorder="1" applyAlignment="1">
      <alignment/>
    </xf>
    <xf numFmtId="0" fontId="70" fillId="0" borderId="45" xfId="0" applyFont="1" applyBorder="1" applyAlignment="1">
      <alignment vertical="center"/>
    </xf>
    <xf numFmtId="10" fontId="71" fillId="0" borderId="45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72" fillId="0" borderId="17" xfId="0" applyNumberFormat="1" applyFont="1" applyBorder="1" applyAlignment="1">
      <alignment/>
    </xf>
    <xf numFmtId="2" fontId="71" fillId="0" borderId="18" xfId="0" applyNumberFormat="1" applyFont="1" applyBorder="1" applyAlignment="1">
      <alignment/>
    </xf>
    <xf numFmtId="0" fontId="78" fillId="0" borderId="0" xfId="0" applyFont="1" applyAlignment="1">
      <alignment horizontal="center" vertical="center"/>
    </xf>
    <xf numFmtId="9" fontId="74" fillId="0" borderId="0" xfId="0" applyNumberFormat="1" applyFont="1" applyAlignment="1">
      <alignment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9" fontId="71" fillId="0" borderId="20" xfId="0" applyNumberFormat="1" applyFont="1" applyBorder="1" applyAlignment="1">
      <alignment/>
    </xf>
    <xf numFmtId="10" fontId="71" fillId="0" borderId="20" xfId="53" applyNumberFormat="1" applyFont="1" applyBorder="1" applyAlignment="1">
      <alignment/>
    </xf>
    <xf numFmtId="10" fontId="71" fillId="0" borderId="23" xfId="53" applyNumberFormat="1" applyFont="1" applyBorder="1" applyAlignment="1">
      <alignment/>
    </xf>
    <xf numFmtId="9" fontId="71" fillId="0" borderId="17" xfId="0" applyNumberFormat="1" applyFont="1" applyBorder="1" applyAlignment="1">
      <alignment/>
    </xf>
    <xf numFmtId="10" fontId="74" fillId="0" borderId="20" xfId="0" applyNumberFormat="1" applyFont="1" applyBorder="1" applyAlignment="1">
      <alignment/>
    </xf>
    <xf numFmtId="10" fontId="74" fillId="0" borderId="20" xfId="53" applyNumberFormat="1" applyFont="1" applyBorder="1" applyAlignment="1">
      <alignment/>
    </xf>
    <xf numFmtId="10" fontId="74" fillId="0" borderId="23" xfId="53" applyNumberFormat="1" applyFont="1" applyBorder="1" applyAlignment="1">
      <alignment/>
    </xf>
    <xf numFmtId="10" fontId="74" fillId="0" borderId="0" xfId="0" applyNumberFormat="1" applyFont="1" applyBorder="1" applyAlignment="1">
      <alignment/>
    </xf>
    <xf numFmtId="10" fontId="74" fillId="0" borderId="0" xfId="53" applyNumberFormat="1" applyFont="1" applyBorder="1" applyAlignment="1">
      <alignment/>
    </xf>
    <xf numFmtId="10" fontId="74" fillId="0" borderId="13" xfId="53" applyNumberFormat="1" applyFont="1" applyBorder="1" applyAlignment="1">
      <alignment/>
    </xf>
    <xf numFmtId="1" fontId="74" fillId="0" borderId="17" xfId="0" applyNumberFormat="1" applyFont="1" applyBorder="1" applyAlignment="1">
      <alignment/>
    </xf>
    <xf numFmtId="1" fontId="74" fillId="0" borderId="18" xfId="0" applyNumberFormat="1" applyFont="1" applyBorder="1" applyAlignment="1">
      <alignment/>
    </xf>
    <xf numFmtId="0" fontId="78" fillId="0" borderId="19" xfId="0" applyFont="1" applyBorder="1" applyAlignment="1">
      <alignment vertical="center"/>
    </xf>
    <xf numFmtId="0" fontId="78" fillId="0" borderId="12" xfId="0" applyFont="1" applyBorder="1" applyAlignment="1">
      <alignment vertical="center"/>
    </xf>
    <xf numFmtId="0" fontId="78" fillId="0" borderId="15" xfId="0" applyFont="1" applyBorder="1" applyAlignment="1">
      <alignment vertical="center"/>
    </xf>
    <xf numFmtId="10" fontId="70" fillId="0" borderId="18" xfId="0" applyNumberFormat="1" applyFont="1" applyBorder="1" applyAlignment="1">
      <alignment horizontal="right" vertical="center"/>
    </xf>
    <xf numFmtId="1" fontId="69" fillId="0" borderId="18" xfId="0" applyNumberFormat="1" applyFont="1" applyBorder="1" applyAlignment="1">
      <alignment horizontal="right" vertical="center"/>
    </xf>
    <xf numFmtId="184" fontId="70" fillId="0" borderId="18" xfId="0" applyNumberFormat="1" applyFont="1" applyBorder="1" applyAlignment="1">
      <alignment horizontal="right" vertical="center"/>
    </xf>
    <xf numFmtId="184" fontId="69" fillId="0" borderId="18" xfId="0" applyNumberFormat="1" applyFont="1" applyBorder="1" applyAlignment="1">
      <alignment horizontal="center" vertical="center"/>
    </xf>
    <xf numFmtId="184" fontId="70" fillId="0" borderId="18" xfId="0" applyNumberFormat="1" applyFont="1" applyBorder="1" applyAlignment="1">
      <alignment horizontal="center" vertical="center"/>
    </xf>
    <xf numFmtId="0" fontId="70" fillId="0" borderId="20" xfId="0" applyFont="1" applyBorder="1" applyAlignment="1">
      <alignment vertical="center"/>
    </xf>
    <xf numFmtId="0" fontId="70" fillId="0" borderId="0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PageLayoutView="0" workbookViewId="0" topLeftCell="A1">
      <pane ySplit="4785" topLeftCell="A47" activePane="topLeft" state="split"/>
      <selection pane="topLeft" activeCell="K5" sqref="K5"/>
      <selection pane="bottomLeft" activeCell="O52" sqref="O52"/>
    </sheetView>
  </sheetViews>
  <sheetFormatPr defaultColWidth="9.140625" defaultRowHeight="15"/>
  <cols>
    <col min="1" max="1" width="9.140625" style="250" customWidth="1"/>
    <col min="2" max="2" width="7.28125" style="250" customWidth="1"/>
    <col min="3" max="3" width="35.421875" style="250" customWidth="1"/>
    <col min="4" max="5" width="10.00390625" style="250" bestFit="1" customWidth="1"/>
    <col min="6" max="16384" width="9.140625" style="250" customWidth="1"/>
  </cols>
  <sheetData>
    <row r="2" ht="13.5" thickBot="1">
      <c r="B2" s="15" t="s">
        <v>0</v>
      </c>
    </row>
    <row r="3" spans="2:9" ht="13.5" thickBot="1">
      <c r="B3" s="2">
        <v>1</v>
      </c>
      <c r="C3" s="3" t="s">
        <v>1</v>
      </c>
      <c r="D3" s="4">
        <v>0</v>
      </c>
      <c r="E3" s="4">
        <v>0.1</v>
      </c>
      <c r="F3" s="4">
        <v>0.2</v>
      </c>
      <c r="G3" s="4">
        <v>0.3</v>
      </c>
      <c r="H3" s="4">
        <v>0.4</v>
      </c>
      <c r="I3" s="19">
        <v>0.5</v>
      </c>
    </row>
    <row r="4" spans="2:9" ht="12.75">
      <c r="B4" s="20">
        <v>2</v>
      </c>
      <c r="C4" s="17" t="s">
        <v>2</v>
      </c>
      <c r="D4" s="263">
        <v>120000</v>
      </c>
      <c r="E4" s="263">
        <v>120000</v>
      </c>
      <c r="F4" s="263">
        <v>120000</v>
      </c>
      <c r="G4" s="263">
        <v>120000</v>
      </c>
      <c r="H4" s="263">
        <v>120000</v>
      </c>
      <c r="I4" s="264">
        <v>120000</v>
      </c>
    </row>
    <row r="5" spans="2:9" ht="12.75">
      <c r="B5" s="5">
        <v>3</v>
      </c>
      <c r="C5" s="260" t="s">
        <v>3</v>
      </c>
      <c r="D5" s="261">
        <f aca="true" t="shared" si="0" ref="D5:I5">D16*D11</f>
        <v>0</v>
      </c>
      <c r="E5" s="261">
        <f t="shared" si="0"/>
        <v>4125</v>
      </c>
      <c r="F5" s="261">
        <f t="shared" si="0"/>
        <v>8750</v>
      </c>
      <c r="G5" s="261">
        <f t="shared" si="0"/>
        <v>14625</v>
      </c>
      <c r="H5" s="261">
        <f t="shared" si="0"/>
        <v>22000</v>
      </c>
      <c r="I5" s="257">
        <f t="shared" si="0"/>
        <v>31250</v>
      </c>
    </row>
    <row r="6" spans="2:9" ht="12.75">
      <c r="B6" s="5">
        <v>4</v>
      </c>
      <c r="C6" s="260" t="s">
        <v>4</v>
      </c>
      <c r="D6" s="261">
        <f aca="true" t="shared" si="1" ref="D6:I6">D4-D5</f>
        <v>120000</v>
      </c>
      <c r="E6" s="261">
        <f t="shared" si="1"/>
        <v>115875</v>
      </c>
      <c r="F6" s="261">
        <f t="shared" si="1"/>
        <v>111250</v>
      </c>
      <c r="G6" s="261">
        <f t="shared" si="1"/>
        <v>105375</v>
      </c>
      <c r="H6" s="261">
        <f t="shared" si="1"/>
        <v>98000</v>
      </c>
      <c r="I6" s="257">
        <f t="shared" si="1"/>
        <v>88750</v>
      </c>
    </row>
    <row r="7" spans="2:9" ht="12.75">
      <c r="B7" s="5">
        <v>5</v>
      </c>
      <c r="C7" s="260" t="s">
        <v>5</v>
      </c>
      <c r="D7" s="261">
        <f aca="true" t="shared" si="2" ref="D7:I7">D6*0.5</f>
        <v>60000</v>
      </c>
      <c r="E7" s="261">
        <f t="shared" si="2"/>
        <v>57937.5</v>
      </c>
      <c r="F7" s="261">
        <f t="shared" si="2"/>
        <v>55625</v>
      </c>
      <c r="G7" s="261">
        <f t="shared" si="2"/>
        <v>52687.5</v>
      </c>
      <c r="H7" s="261">
        <f t="shared" si="2"/>
        <v>49000</v>
      </c>
      <c r="I7" s="257">
        <f t="shared" si="2"/>
        <v>44375</v>
      </c>
    </row>
    <row r="8" spans="2:9" ht="12.75">
      <c r="B8" s="5">
        <v>6</v>
      </c>
      <c r="C8" s="260" t="s">
        <v>6</v>
      </c>
      <c r="D8" s="261">
        <f aca="true" t="shared" si="3" ref="D8:I8">D6-D7</f>
        <v>60000</v>
      </c>
      <c r="E8" s="261">
        <f t="shared" si="3"/>
        <v>57937.5</v>
      </c>
      <c r="F8" s="261">
        <f t="shared" si="3"/>
        <v>55625</v>
      </c>
      <c r="G8" s="261">
        <f t="shared" si="3"/>
        <v>52687.5</v>
      </c>
      <c r="H8" s="261">
        <f t="shared" si="3"/>
        <v>49000</v>
      </c>
      <c r="I8" s="257">
        <f t="shared" si="3"/>
        <v>44375</v>
      </c>
    </row>
    <row r="9" spans="2:9" ht="12.75">
      <c r="B9" s="5">
        <v>7</v>
      </c>
      <c r="C9" s="260" t="s">
        <v>7</v>
      </c>
      <c r="D9" s="261">
        <f aca="true" t="shared" si="4" ref="D9:I9">D8</f>
        <v>60000</v>
      </c>
      <c r="E9" s="261">
        <f t="shared" si="4"/>
        <v>57937.5</v>
      </c>
      <c r="F9" s="261">
        <f t="shared" si="4"/>
        <v>55625</v>
      </c>
      <c r="G9" s="261">
        <f t="shared" si="4"/>
        <v>52687.5</v>
      </c>
      <c r="H9" s="261">
        <f t="shared" si="4"/>
        <v>49000</v>
      </c>
      <c r="I9" s="257">
        <f t="shared" si="4"/>
        <v>44375</v>
      </c>
    </row>
    <row r="10" spans="2:9" ht="13.5" thickBot="1">
      <c r="B10" s="8">
        <v>8</v>
      </c>
      <c r="C10" s="10" t="s">
        <v>8</v>
      </c>
      <c r="D10" s="259">
        <f aca="true" t="shared" si="5" ref="D10:I10">D5+D9</f>
        <v>60000</v>
      </c>
      <c r="E10" s="259">
        <f t="shared" si="5"/>
        <v>62062.5</v>
      </c>
      <c r="F10" s="259">
        <f t="shared" si="5"/>
        <v>64375</v>
      </c>
      <c r="G10" s="259">
        <f t="shared" si="5"/>
        <v>67312.5</v>
      </c>
      <c r="H10" s="259">
        <f t="shared" si="5"/>
        <v>71000</v>
      </c>
      <c r="I10" s="275">
        <f t="shared" si="5"/>
        <v>75625</v>
      </c>
    </row>
    <row r="11" spans="2:9" ht="12.75">
      <c r="B11" s="5">
        <v>9</v>
      </c>
      <c r="C11" s="276" t="s">
        <v>9</v>
      </c>
      <c r="D11" s="274">
        <v>0.08</v>
      </c>
      <c r="E11" s="274">
        <v>0.0825</v>
      </c>
      <c r="F11" s="274">
        <v>0.0875</v>
      </c>
      <c r="G11" s="274">
        <v>0.0975</v>
      </c>
      <c r="H11" s="274">
        <v>0.11</v>
      </c>
      <c r="I11" s="277">
        <v>0.125</v>
      </c>
    </row>
    <row r="12" spans="2:9" ht="13.5" thickBot="1">
      <c r="B12" s="5">
        <v>10</v>
      </c>
      <c r="C12" s="276" t="s">
        <v>10</v>
      </c>
      <c r="D12" s="274">
        <v>0.12</v>
      </c>
      <c r="E12" s="274">
        <v>0.125</v>
      </c>
      <c r="F12" s="274">
        <v>0.13</v>
      </c>
      <c r="G12" s="274">
        <v>0.135</v>
      </c>
      <c r="H12" s="274">
        <v>0.145</v>
      </c>
      <c r="I12" s="277">
        <v>0.16</v>
      </c>
    </row>
    <row r="13" spans="2:9" ht="12.75">
      <c r="B13" s="20">
        <v>11</v>
      </c>
      <c r="C13" s="17" t="s">
        <v>11</v>
      </c>
      <c r="D13" s="262">
        <f aca="true" t="shared" si="6" ref="D13:I13">D5/D11</f>
        <v>0</v>
      </c>
      <c r="E13" s="262">
        <f t="shared" si="6"/>
        <v>50000</v>
      </c>
      <c r="F13" s="262">
        <f t="shared" si="6"/>
        <v>100000</v>
      </c>
      <c r="G13" s="262">
        <f t="shared" si="6"/>
        <v>150000</v>
      </c>
      <c r="H13" s="262">
        <f t="shared" si="6"/>
        <v>200000</v>
      </c>
      <c r="I13" s="278">
        <f t="shared" si="6"/>
        <v>250000</v>
      </c>
    </row>
    <row r="14" spans="2:9" ht="12.75">
      <c r="B14" s="5">
        <v>12</v>
      </c>
      <c r="C14" s="260" t="s">
        <v>12</v>
      </c>
      <c r="D14" s="265">
        <f aca="true" t="shared" si="7" ref="D14:I14">D9/D12</f>
        <v>500000</v>
      </c>
      <c r="E14" s="265">
        <f t="shared" si="7"/>
        <v>463500</v>
      </c>
      <c r="F14" s="265">
        <f t="shared" si="7"/>
        <v>427884.6153846154</v>
      </c>
      <c r="G14" s="265">
        <f t="shared" si="7"/>
        <v>390277.77777777775</v>
      </c>
      <c r="H14" s="265">
        <f t="shared" si="7"/>
        <v>337931.03448275867</v>
      </c>
      <c r="I14" s="266">
        <f t="shared" si="7"/>
        <v>277343.75</v>
      </c>
    </row>
    <row r="15" spans="2:9" ht="13.5" thickBot="1">
      <c r="B15" s="8">
        <v>13</v>
      </c>
      <c r="C15" s="10" t="s">
        <v>13</v>
      </c>
      <c r="D15" s="259">
        <f aca="true" t="shared" si="8" ref="D15:I15">D13+D14</f>
        <v>500000</v>
      </c>
      <c r="E15" s="259">
        <f t="shared" si="8"/>
        <v>513500</v>
      </c>
      <c r="F15" s="259">
        <f t="shared" si="8"/>
        <v>527884.6153846154</v>
      </c>
      <c r="G15" s="279">
        <f t="shared" si="8"/>
        <v>540277.7777777778</v>
      </c>
      <c r="H15" s="259">
        <f t="shared" si="8"/>
        <v>537931.0344827587</v>
      </c>
      <c r="I15" s="275">
        <f t="shared" si="8"/>
        <v>527343.75</v>
      </c>
    </row>
    <row r="16" spans="2:9" ht="12.75">
      <c r="B16" s="20">
        <v>14</v>
      </c>
      <c r="C16" s="17" t="s">
        <v>14</v>
      </c>
      <c r="D16" s="262">
        <v>0</v>
      </c>
      <c r="E16" s="263">
        <f>D16+50000</f>
        <v>50000</v>
      </c>
      <c r="F16" s="263">
        <f>E16+50000</f>
        <v>100000</v>
      </c>
      <c r="G16" s="263">
        <f>F16+50000</f>
        <v>150000</v>
      </c>
      <c r="H16" s="263">
        <f>G16+50000</f>
        <v>200000</v>
      </c>
      <c r="I16" s="264">
        <f>H16+50000</f>
        <v>250000</v>
      </c>
    </row>
    <row r="17" spans="2:9" ht="12.75">
      <c r="B17" s="5">
        <v>15</v>
      </c>
      <c r="C17" s="260" t="s">
        <v>15</v>
      </c>
      <c r="D17" s="265">
        <v>500000</v>
      </c>
      <c r="E17" s="265">
        <f>D17-50000</f>
        <v>450000</v>
      </c>
      <c r="F17" s="265">
        <f>E17-50000</f>
        <v>400000</v>
      </c>
      <c r="G17" s="265">
        <f>F17-50000</f>
        <v>350000</v>
      </c>
      <c r="H17" s="265">
        <f>G17-50000</f>
        <v>300000</v>
      </c>
      <c r="I17" s="266">
        <f>H17-50000</f>
        <v>250000</v>
      </c>
    </row>
    <row r="18" spans="2:9" ht="13.5" thickBot="1">
      <c r="B18" s="7">
        <v>16</v>
      </c>
      <c r="C18" s="9" t="s">
        <v>16</v>
      </c>
      <c r="D18" s="255">
        <f aca="true" t="shared" si="9" ref="D18:I18">D16+D17</f>
        <v>500000</v>
      </c>
      <c r="E18" s="255">
        <f t="shared" si="9"/>
        <v>500000</v>
      </c>
      <c r="F18" s="255">
        <f t="shared" si="9"/>
        <v>500000</v>
      </c>
      <c r="G18" s="255">
        <f t="shared" si="9"/>
        <v>500000</v>
      </c>
      <c r="H18" s="255">
        <f t="shared" si="9"/>
        <v>500000</v>
      </c>
      <c r="I18" s="267">
        <f t="shared" si="9"/>
        <v>500000</v>
      </c>
    </row>
    <row r="19" spans="2:9" ht="13.5" thickTop="1">
      <c r="B19" s="5">
        <v>17</v>
      </c>
      <c r="C19" s="260" t="s">
        <v>17</v>
      </c>
      <c r="D19" s="268">
        <f aca="true" t="shared" si="10" ref="D19:I19">D4*(1-0.5)/D18</f>
        <v>0.12</v>
      </c>
      <c r="E19" s="268">
        <f t="shared" si="10"/>
        <v>0.12</v>
      </c>
      <c r="F19" s="268">
        <f t="shared" si="10"/>
        <v>0.12</v>
      </c>
      <c r="G19" s="268">
        <f t="shared" si="10"/>
        <v>0.12</v>
      </c>
      <c r="H19" s="268">
        <f t="shared" si="10"/>
        <v>0.12</v>
      </c>
      <c r="I19" s="251">
        <f t="shared" si="10"/>
        <v>0.12</v>
      </c>
    </row>
    <row r="20" spans="2:9" ht="13.5" thickBot="1">
      <c r="B20" s="7">
        <v>18</v>
      </c>
      <c r="C20" s="9" t="s">
        <v>18</v>
      </c>
      <c r="D20" s="252">
        <f aca="true" t="shared" si="11" ref="D20:I20">D8/D17</f>
        <v>0.12</v>
      </c>
      <c r="E20" s="252">
        <f t="shared" si="11"/>
        <v>0.12875</v>
      </c>
      <c r="F20" s="252">
        <f t="shared" si="11"/>
        <v>0.1390625</v>
      </c>
      <c r="G20" s="252">
        <f t="shared" si="11"/>
        <v>0.15053571428571427</v>
      </c>
      <c r="H20" s="252">
        <f t="shared" si="11"/>
        <v>0.16333333333333333</v>
      </c>
      <c r="I20" s="253">
        <f t="shared" si="11"/>
        <v>0.1775</v>
      </c>
    </row>
    <row r="21" spans="2:9" ht="13.5" thickTop="1">
      <c r="B21" s="5">
        <v>19</v>
      </c>
      <c r="C21" s="260" t="s">
        <v>19</v>
      </c>
      <c r="D21" s="261">
        <v>5000</v>
      </c>
      <c r="E21" s="269">
        <v>4513</v>
      </c>
      <c r="F21" s="269">
        <v>4053</v>
      </c>
      <c r="G21" s="269">
        <v>3612</v>
      </c>
      <c r="H21" s="269">
        <v>3141</v>
      </c>
      <c r="I21" s="257">
        <v>2630</v>
      </c>
    </row>
    <row r="22" spans="2:9" ht="13.5" thickBot="1">
      <c r="B22" s="7">
        <v>20</v>
      </c>
      <c r="C22" s="9" t="s">
        <v>20</v>
      </c>
      <c r="D22" s="254">
        <f aca="true" t="shared" si="12" ref="D22:I22">D14/D21</f>
        <v>100</v>
      </c>
      <c r="E22" s="254">
        <f t="shared" si="12"/>
        <v>102.70330157323288</v>
      </c>
      <c r="F22" s="254">
        <f t="shared" si="12"/>
        <v>105.57232059822734</v>
      </c>
      <c r="G22" s="258">
        <f t="shared" si="12"/>
        <v>108.05032607358189</v>
      </c>
      <c r="H22" s="254">
        <f t="shared" si="12"/>
        <v>107.5870851584714</v>
      </c>
      <c r="I22" s="270">
        <f t="shared" si="12"/>
        <v>105.45389733840304</v>
      </c>
    </row>
    <row r="23" spans="2:9" ht="13.5" thickTop="1">
      <c r="B23" s="5">
        <v>21</v>
      </c>
      <c r="C23" s="260" t="s">
        <v>21</v>
      </c>
      <c r="D23" s="271">
        <f aca="true" t="shared" si="13" ref="D23:I23">D8/D21</f>
        <v>12</v>
      </c>
      <c r="E23" s="271">
        <f t="shared" si="13"/>
        <v>12.83791269665411</v>
      </c>
      <c r="F23" s="271">
        <f t="shared" si="13"/>
        <v>13.724401677769553</v>
      </c>
      <c r="G23" s="271">
        <f t="shared" si="13"/>
        <v>14.586794019933555</v>
      </c>
      <c r="H23" s="271">
        <f t="shared" si="13"/>
        <v>15.60012734797835</v>
      </c>
      <c r="I23" s="256">
        <f t="shared" si="13"/>
        <v>16.872623574144487</v>
      </c>
    </row>
    <row r="24" spans="2:9" ht="12.75">
      <c r="B24" s="5">
        <v>22</v>
      </c>
      <c r="C24" s="260" t="s">
        <v>22</v>
      </c>
      <c r="D24" s="272">
        <f aca="true" t="shared" si="14" ref="D24:I24">D22/D23</f>
        <v>8.333333333333334</v>
      </c>
      <c r="E24" s="272">
        <f t="shared" si="14"/>
        <v>8</v>
      </c>
      <c r="F24" s="272">
        <f t="shared" si="14"/>
        <v>7.6923076923076925</v>
      </c>
      <c r="G24" s="272">
        <f t="shared" si="14"/>
        <v>7.407407407407407</v>
      </c>
      <c r="H24" s="272">
        <f t="shared" si="14"/>
        <v>6.8965517241379315</v>
      </c>
      <c r="I24" s="273">
        <f t="shared" si="14"/>
        <v>6.249999999999999</v>
      </c>
    </row>
    <row r="25" spans="2:9" ht="12.75">
      <c r="B25" s="5">
        <v>23</v>
      </c>
      <c r="C25" s="260" t="s">
        <v>23</v>
      </c>
      <c r="D25" s="268">
        <f aca="true" t="shared" si="15" ref="D25:I25">D16/D18</f>
        <v>0</v>
      </c>
      <c r="E25" s="268">
        <f t="shared" si="15"/>
        <v>0.1</v>
      </c>
      <c r="F25" s="268">
        <f t="shared" si="15"/>
        <v>0.2</v>
      </c>
      <c r="G25" s="268">
        <f t="shared" si="15"/>
        <v>0.3</v>
      </c>
      <c r="H25" s="268">
        <f t="shared" si="15"/>
        <v>0.4</v>
      </c>
      <c r="I25" s="251">
        <f t="shared" si="15"/>
        <v>0.5</v>
      </c>
    </row>
    <row r="26" spans="2:9" ht="13.5" thickBot="1">
      <c r="B26" s="7">
        <v>24</v>
      </c>
      <c r="C26" s="9" t="s">
        <v>24</v>
      </c>
      <c r="D26" s="252">
        <f aca="true" t="shared" si="16" ref="D26:I26">D13/D15</f>
        <v>0</v>
      </c>
      <c r="E26" s="252">
        <f t="shared" si="16"/>
        <v>0.09737098344693282</v>
      </c>
      <c r="F26" s="252">
        <f t="shared" si="16"/>
        <v>0.1894353369763206</v>
      </c>
      <c r="G26" s="252">
        <f t="shared" si="16"/>
        <v>0.2776349614395887</v>
      </c>
      <c r="H26" s="252">
        <f t="shared" si="16"/>
        <v>0.3717948717948717</v>
      </c>
      <c r="I26" s="253">
        <f t="shared" si="16"/>
        <v>0.4740740740740741</v>
      </c>
    </row>
    <row r="27" spans="2:9" ht="13.5" thickTop="1">
      <c r="B27" s="5">
        <v>25</v>
      </c>
      <c r="C27" s="260" t="s">
        <v>25</v>
      </c>
      <c r="D27" s="268">
        <f aca="true" t="shared" si="17" ref="D27:I27">(D13*D11*(1-0.5)+D14*D12)/D15</f>
        <v>0.12</v>
      </c>
      <c r="E27" s="268">
        <f t="shared" si="17"/>
        <v>0.11684518013631938</v>
      </c>
      <c r="F27" s="268">
        <f t="shared" si="17"/>
        <v>0.11366120218579236</v>
      </c>
      <c r="G27" s="274">
        <f t="shared" si="17"/>
        <v>0.11105398457583548</v>
      </c>
      <c r="H27" s="268">
        <f t="shared" si="17"/>
        <v>0.11153846153846152</v>
      </c>
      <c r="I27" s="251">
        <f t="shared" si="17"/>
        <v>0.11377777777777778</v>
      </c>
    </row>
    <row r="28" spans="2:9" ht="12.75">
      <c r="B28" s="5">
        <v>26</v>
      </c>
      <c r="C28" s="260" t="s">
        <v>26</v>
      </c>
      <c r="D28" s="261">
        <f aca="true" t="shared" si="18" ref="D28:I28">D4*(1-0.5)</f>
        <v>60000</v>
      </c>
      <c r="E28" s="261">
        <f t="shared" si="18"/>
        <v>60000</v>
      </c>
      <c r="F28" s="261">
        <f t="shared" si="18"/>
        <v>60000</v>
      </c>
      <c r="G28" s="261">
        <f t="shared" si="18"/>
        <v>60000</v>
      </c>
      <c r="H28" s="261">
        <f t="shared" si="18"/>
        <v>60000</v>
      </c>
      <c r="I28" s="257">
        <f t="shared" si="18"/>
        <v>60000</v>
      </c>
    </row>
    <row r="29" spans="2:9" ht="13.5" thickBot="1">
      <c r="B29" s="8">
        <v>27</v>
      </c>
      <c r="C29" s="10" t="s">
        <v>27</v>
      </c>
      <c r="D29" s="259">
        <f aca="true" t="shared" si="19" ref="D29:I29">D28/D27</f>
        <v>500000</v>
      </c>
      <c r="E29" s="259">
        <f t="shared" si="19"/>
        <v>513500</v>
      </c>
      <c r="F29" s="259">
        <f t="shared" si="19"/>
        <v>527884.6153846154</v>
      </c>
      <c r="G29" s="259">
        <f t="shared" si="19"/>
        <v>540277.7777777778</v>
      </c>
      <c r="H29" s="259">
        <f t="shared" si="19"/>
        <v>537931.0344827587</v>
      </c>
      <c r="I29" s="275">
        <f t="shared" si="19"/>
        <v>527343.75</v>
      </c>
    </row>
    <row r="30" spans="2:9" ht="12.75">
      <c r="B30" s="14"/>
      <c r="C30" s="250" t="s">
        <v>191</v>
      </c>
      <c r="D30" s="302">
        <v>0.5</v>
      </c>
      <c r="E30" s="302">
        <v>0.5</v>
      </c>
      <c r="F30" s="302">
        <v>0.5</v>
      </c>
      <c r="G30" s="302">
        <v>0.5</v>
      </c>
      <c r="H30" s="302">
        <v>0.5</v>
      </c>
      <c r="I30" s="302">
        <v>0.5</v>
      </c>
    </row>
    <row r="32" spans="1:11" ht="15.75" thickBot="1">
      <c r="A32"/>
      <c r="B32" s="1" t="s">
        <v>28</v>
      </c>
      <c r="C32"/>
      <c r="D32"/>
      <c r="E32"/>
      <c r="F32"/>
      <c r="G32"/>
      <c r="H32"/>
      <c r="I32"/>
      <c r="J32"/>
      <c r="K32"/>
    </row>
    <row r="33" spans="3:9" ht="13.5" thickBot="1">
      <c r="C33" s="282" t="s">
        <v>184</v>
      </c>
      <c r="D33" s="299">
        <v>0</v>
      </c>
      <c r="E33" s="300">
        <f>D33+50000</f>
        <v>50000</v>
      </c>
      <c r="F33" s="300">
        <f>E33+50000</f>
        <v>100000</v>
      </c>
      <c r="G33" s="300">
        <f>F33+50000</f>
        <v>150000</v>
      </c>
      <c r="H33" s="300">
        <f>G33+50000</f>
        <v>200000</v>
      </c>
      <c r="I33" s="301">
        <f>H33+50000</f>
        <v>250000</v>
      </c>
    </row>
    <row r="34" spans="2:9" ht="12.75">
      <c r="B34" s="20">
        <v>5</v>
      </c>
      <c r="C34" s="26" t="s">
        <v>73</v>
      </c>
      <c r="D34" s="263">
        <f aca="true" t="shared" si="20" ref="D34:I34">D7</f>
        <v>60000</v>
      </c>
      <c r="E34" s="263">
        <f t="shared" si="20"/>
        <v>57937.5</v>
      </c>
      <c r="F34" s="263">
        <f t="shared" si="20"/>
        <v>55625</v>
      </c>
      <c r="G34" s="263">
        <f t="shared" si="20"/>
        <v>52687.5</v>
      </c>
      <c r="H34" s="263">
        <f t="shared" si="20"/>
        <v>49000</v>
      </c>
      <c r="I34" s="264">
        <f t="shared" si="20"/>
        <v>44375</v>
      </c>
    </row>
    <row r="35" spans="2:9" ht="12.75">
      <c r="B35" s="5">
        <v>3</v>
      </c>
      <c r="C35" s="260" t="s">
        <v>185</v>
      </c>
      <c r="D35" s="261">
        <f aca="true" t="shared" si="21" ref="D35:I35">D5</f>
        <v>0</v>
      </c>
      <c r="E35" s="261">
        <f t="shared" si="21"/>
        <v>4125</v>
      </c>
      <c r="F35" s="261">
        <f t="shared" si="21"/>
        <v>8750</v>
      </c>
      <c r="G35" s="261">
        <f t="shared" si="21"/>
        <v>14625</v>
      </c>
      <c r="H35" s="261">
        <f t="shared" si="21"/>
        <v>22000</v>
      </c>
      <c r="I35" s="257">
        <f t="shared" si="21"/>
        <v>31250</v>
      </c>
    </row>
    <row r="36" spans="2:9" ht="12.75">
      <c r="B36" s="5">
        <v>7</v>
      </c>
      <c r="C36" s="260" t="s">
        <v>7</v>
      </c>
      <c r="D36" s="261">
        <f aca="true" t="shared" si="22" ref="D36:I36">D9</f>
        <v>60000</v>
      </c>
      <c r="E36" s="261">
        <f t="shared" si="22"/>
        <v>57937.5</v>
      </c>
      <c r="F36" s="261">
        <f t="shared" si="22"/>
        <v>55625</v>
      </c>
      <c r="G36" s="261">
        <f t="shared" si="22"/>
        <v>52687.5</v>
      </c>
      <c r="H36" s="261">
        <f t="shared" si="22"/>
        <v>49000</v>
      </c>
      <c r="I36" s="257">
        <f t="shared" si="22"/>
        <v>44375</v>
      </c>
    </row>
    <row r="37" spans="2:9" ht="13.5" thickBot="1">
      <c r="B37" s="8">
        <v>2</v>
      </c>
      <c r="C37" s="283" t="s">
        <v>186</v>
      </c>
      <c r="D37" s="284">
        <f aca="true" t="shared" si="23" ref="D37:I37">SUM(D34:D36)</f>
        <v>120000</v>
      </c>
      <c r="E37" s="284">
        <f t="shared" si="23"/>
        <v>120000</v>
      </c>
      <c r="F37" s="284">
        <f t="shared" si="23"/>
        <v>120000</v>
      </c>
      <c r="G37" s="284">
        <f t="shared" si="23"/>
        <v>120000</v>
      </c>
      <c r="H37" s="284">
        <f t="shared" si="23"/>
        <v>120000</v>
      </c>
      <c r="I37" s="285">
        <f t="shared" si="23"/>
        <v>120000</v>
      </c>
    </row>
    <row r="38" spans="2:9" ht="12.75">
      <c r="B38" s="286">
        <v>28</v>
      </c>
      <c r="C38" s="287" t="s">
        <v>51</v>
      </c>
      <c r="D38" s="287">
        <f aca="true" t="shared" si="24" ref="D38:I38">D34/D12</f>
        <v>500000</v>
      </c>
      <c r="E38" s="287">
        <f t="shared" si="24"/>
        <v>463500</v>
      </c>
      <c r="F38" s="287">
        <f t="shared" si="24"/>
        <v>427884.6153846154</v>
      </c>
      <c r="G38" s="287">
        <f t="shared" si="24"/>
        <v>390277.77777777775</v>
      </c>
      <c r="H38" s="287">
        <f t="shared" si="24"/>
        <v>337931.03448275867</v>
      </c>
      <c r="I38" s="288">
        <f t="shared" si="24"/>
        <v>277343.75</v>
      </c>
    </row>
    <row r="39" spans="2:9" ht="12.75">
      <c r="B39" s="289">
        <v>29</v>
      </c>
      <c r="C39" s="290" t="s">
        <v>187</v>
      </c>
      <c r="D39" s="291">
        <f aca="true" t="shared" si="25" ref="D39:I39">D13+D14+D38</f>
        <v>1000000</v>
      </c>
      <c r="E39" s="291">
        <f t="shared" si="25"/>
        <v>977000</v>
      </c>
      <c r="F39" s="291">
        <f t="shared" si="25"/>
        <v>955769.2307692308</v>
      </c>
      <c r="G39" s="291">
        <f t="shared" si="25"/>
        <v>930555.5555555555</v>
      </c>
      <c r="H39" s="291">
        <f t="shared" si="25"/>
        <v>875862.0689655175</v>
      </c>
      <c r="I39" s="292">
        <f t="shared" si="25"/>
        <v>804687.5</v>
      </c>
    </row>
    <row r="40" spans="2:9" ht="13.5" thickBot="1">
      <c r="B40" s="293">
        <v>30</v>
      </c>
      <c r="C40" s="283" t="s">
        <v>54</v>
      </c>
      <c r="D40" s="294">
        <f aca="true" t="shared" si="26" ref="D40:I40">D37/D39</f>
        <v>0.12</v>
      </c>
      <c r="E40" s="294">
        <f t="shared" si="26"/>
        <v>0.12282497441146366</v>
      </c>
      <c r="F40" s="294">
        <f t="shared" si="26"/>
        <v>0.1255533199195171</v>
      </c>
      <c r="G40" s="294">
        <f t="shared" si="26"/>
        <v>0.12895522388059702</v>
      </c>
      <c r="H40" s="294">
        <f t="shared" si="26"/>
        <v>0.137007874015748</v>
      </c>
      <c r="I40" s="295">
        <f t="shared" si="26"/>
        <v>0.14912621359223302</v>
      </c>
    </row>
    <row r="41" spans="2:9" ht="12.75">
      <c r="B41" s="296">
        <v>31</v>
      </c>
      <c r="C41" s="297" t="s">
        <v>188</v>
      </c>
      <c r="D41" s="297"/>
      <c r="E41" s="298">
        <f>E40-D40</f>
        <v>0.0028249744114636627</v>
      </c>
      <c r="F41" s="298">
        <f>F40-E40</f>
        <v>0.0027283455080534397</v>
      </c>
      <c r="G41" s="298">
        <f>G40-F40</f>
        <v>0.0034019039610799218</v>
      </c>
      <c r="H41" s="298">
        <f>H40-G40</f>
        <v>0.008052650135150968</v>
      </c>
      <c r="I41" s="298">
        <f>I40-H40</f>
        <v>0.012118339576485032</v>
      </c>
    </row>
    <row r="43" spans="1:11" ht="15.75" thickBot="1">
      <c r="A43"/>
      <c r="B43" s="1" t="s">
        <v>29</v>
      </c>
      <c r="C43"/>
      <c r="D43"/>
      <c r="E43"/>
      <c r="F43"/>
      <c r="G43"/>
      <c r="H43"/>
      <c r="I43"/>
      <c r="J43"/>
      <c r="K43"/>
    </row>
    <row r="44" spans="3:9" ht="13.5" thickBot="1">
      <c r="C44" s="282" t="s">
        <v>184</v>
      </c>
      <c r="D44" s="299">
        <v>0</v>
      </c>
      <c r="E44" s="300">
        <f>D44+50000</f>
        <v>50000</v>
      </c>
      <c r="F44" s="300">
        <f>E44+50000</f>
        <v>100000</v>
      </c>
      <c r="G44" s="300">
        <f>F44+50000</f>
        <v>150000</v>
      </c>
      <c r="H44" s="300">
        <f>G44+50000</f>
        <v>200000</v>
      </c>
      <c r="I44" s="301">
        <f>H44+50000</f>
        <v>250000</v>
      </c>
    </row>
    <row r="45" spans="2:9" ht="12.75">
      <c r="B45" s="286">
        <v>32</v>
      </c>
      <c r="C45" s="287" t="s">
        <v>55</v>
      </c>
      <c r="D45" s="287">
        <v>0</v>
      </c>
      <c r="E45" s="307">
        <f>E47+$D29-E29</f>
        <v>11500</v>
      </c>
      <c r="F45" s="307">
        <f>F47+$D29-F29</f>
        <v>22115.384615384624</v>
      </c>
      <c r="G45" s="307">
        <f>G47+$D29-G29</f>
        <v>34722.22222222225</v>
      </c>
      <c r="H45" s="307">
        <f>H47+$D29-H29</f>
        <v>62068.965517241275</v>
      </c>
      <c r="I45" s="308">
        <f>I47+$D29-I29</f>
        <v>97656.25</v>
      </c>
    </row>
    <row r="46" spans="2:9" ht="12.75">
      <c r="B46" s="289">
        <v>33</v>
      </c>
      <c r="C46" s="305" t="s">
        <v>189</v>
      </c>
      <c r="D46" s="290"/>
      <c r="E46" s="311">
        <f>E45-D45</f>
        <v>11500</v>
      </c>
      <c r="F46" s="311">
        <f>F45-E45</f>
        <v>10615.384615384624</v>
      </c>
      <c r="G46" s="311">
        <f>G45-F45</f>
        <v>12606.837606837624</v>
      </c>
      <c r="H46" s="311">
        <f>H45-G45</f>
        <v>27346.743295019027</v>
      </c>
      <c r="I46" s="312">
        <f>I45-H45</f>
        <v>35587.284482758725</v>
      </c>
    </row>
    <row r="47" spans="2:9" s="303" customFormat="1" ht="12.75">
      <c r="B47" s="304"/>
      <c r="C47" s="306" t="s">
        <v>190</v>
      </c>
      <c r="D47" s="306">
        <f aca="true" t="shared" si="27" ref="D47:I47">D44*D30</f>
        <v>0</v>
      </c>
      <c r="E47" s="306">
        <f t="shared" si="27"/>
        <v>25000</v>
      </c>
      <c r="F47" s="306">
        <f t="shared" si="27"/>
        <v>50000</v>
      </c>
      <c r="G47" s="306">
        <f t="shared" si="27"/>
        <v>75000</v>
      </c>
      <c r="H47" s="306">
        <f t="shared" si="27"/>
        <v>100000</v>
      </c>
      <c r="I47" s="309">
        <f t="shared" si="27"/>
        <v>125000</v>
      </c>
    </row>
    <row r="48" spans="2:9" ht="13.5" thickBot="1">
      <c r="B48" s="293">
        <v>34</v>
      </c>
      <c r="C48" s="283" t="s">
        <v>192</v>
      </c>
      <c r="D48" s="283"/>
      <c r="E48" s="283">
        <f>E47-D47</f>
        <v>25000</v>
      </c>
      <c r="F48" s="283">
        <f>F47-E47</f>
        <v>25000</v>
      </c>
      <c r="G48" s="283">
        <f>G47-F47</f>
        <v>25000</v>
      </c>
      <c r="H48" s="283">
        <f>H47-G47</f>
        <v>25000</v>
      </c>
      <c r="I48" s="310">
        <f>I47-H47</f>
        <v>25000</v>
      </c>
    </row>
    <row r="50" spans="1:9" ht="15.75" thickBot="1">
      <c r="A50"/>
      <c r="B50" s="1" t="s">
        <v>30</v>
      </c>
      <c r="C50"/>
      <c r="D50"/>
      <c r="E50"/>
      <c r="F50"/>
      <c r="G50"/>
      <c r="H50"/>
      <c r="I50"/>
    </row>
    <row r="51" spans="3:9" ht="13.5" thickBot="1">
      <c r="C51" s="280" t="s">
        <v>184</v>
      </c>
      <c r="D51" s="322">
        <v>0</v>
      </c>
      <c r="E51" s="323">
        <f>D51+50000</f>
        <v>50000</v>
      </c>
      <c r="F51" s="323">
        <f>E51+50000</f>
        <v>100000</v>
      </c>
      <c r="G51" s="323">
        <f>F51+50000</f>
        <v>150000</v>
      </c>
      <c r="H51" s="323">
        <f>G51+50000</f>
        <v>200000</v>
      </c>
      <c r="I51" s="324">
        <f>H51+50000</f>
        <v>250000</v>
      </c>
    </row>
    <row r="52" spans="2:9" ht="12.75">
      <c r="B52" s="313">
        <v>35</v>
      </c>
      <c r="C52" s="290" t="s">
        <v>193</v>
      </c>
      <c r="D52" s="290"/>
      <c r="E52" s="316">
        <f>E11</f>
        <v>0.0825</v>
      </c>
      <c r="F52" s="316">
        <f>E52</f>
        <v>0.0825</v>
      </c>
      <c r="G52" s="316">
        <f aca="true" t="shared" si="28" ref="G52:I55">F52</f>
        <v>0.0825</v>
      </c>
      <c r="H52" s="316">
        <f t="shared" si="28"/>
        <v>0.0825</v>
      </c>
      <c r="I52" s="317">
        <f t="shared" si="28"/>
        <v>0.0825</v>
      </c>
    </row>
    <row r="53" spans="2:9" ht="12.75">
      <c r="B53" s="314">
        <v>36</v>
      </c>
      <c r="C53" s="290" t="s">
        <v>194</v>
      </c>
      <c r="D53" s="290"/>
      <c r="E53" s="290"/>
      <c r="F53" s="315">
        <f>(F$51*F$11-E$51*E$11)/(F$51-E$51)</f>
        <v>0.0925</v>
      </c>
      <c r="G53" s="316">
        <f t="shared" si="28"/>
        <v>0.0925</v>
      </c>
      <c r="H53" s="316">
        <f t="shared" si="28"/>
        <v>0.0925</v>
      </c>
      <c r="I53" s="317">
        <f t="shared" si="28"/>
        <v>0.0925</v>
      </c>
    </row>
    <row r="54" spans="2:9" ht="12.75">
      <c r="B54" s="314">
        <v>37</v>
      </c>
      <c r="C54" s="290" t="s">
        <v>194</v>
      </c>
      <c r="D54" s="290"/>
      <c r="E54" s="290"/>
      <c r="F54" s="290"/>
      <c r="G54" s="315">
        <f>(G$51*G$11-F$51*F$11)/(G$51-F$51)</f>
        <v>0.1175</v>
      </c>
      <c r="H54" s="316">
        <f t="shared" si="28"/>
        <v>0.1175</v>
      </c>
      <c r="I54" s="317">
        <f t="shared" si="28"/>
        <v>0.1175</v>
      </c>
    </row>
    <row r="55" spans="2:9" ht="12.75">
      <c r="B55" s="314">
        <v>38</v>
      </c>
      <c r="C55" s="290" t="s">
        <v>194</v>
      </c>
      <c r="D55" s="290"/>
      <c r="E55" s="290"/>
      <c r="F55" s="290"/>
      <c r="G55" s="290"/>
      <c r="H55" s="315">
        <f>(H$51*H$11-G$51*G$11)/(H$51-G$51)</f>
        <v>0.1475</v>
      </c>
      <c r="I55" s="325">
        <f t="shared" si="28"/>
        <v>0.1475</v>
      </c>
    </row>
    <row r="56" spans="2:9" ht="12.75">
      <c r="B56" s="314">
        <v>39</v>
      </c>
      <c r="C56" s="290" t="s">
        <v>194</v>
      </c>
      <c r="D56" s="290"/>
      <c r="E56" s="290"/>
      <c r="F56" s="290"/>
      <c r="G56" s="290"/>
      <c r="H56" s="290"/>
      <c r="I56" s="326">
        <f>(I$51*I$11-H$51*H$11)/(I$51-H$51)</f>
        <v>0.185</v>
      </c>
    </row>
    <row r="57" spans="2:9" ht="12.75">
      <c r="B57" s="318">
        <v>40</v>
      </c>
      <c r="C57" s="319" t="s">
        <v>195</v>
      </c>
      <c r="D57" s="319"/>
      <c r="E57" s="320">
        <f>AVERAGE(E52:E56)</f>
        <v>0.0825</v>
      </c>
      <c r="F57" s="320">
        <f>AVERAGE(F52:F56)</f>
        <v>0.0875</v>
      </c>
      <c r="G57" s="320">
        <f>AVERAGE(G52:G56)</f>
        <v>0.09749999999999999</v>
      </c>
      <c r="H57" s="320">
        <f>AVERAGE(H52:H56)</f>
        <v>0.10999999999999999</v>
      </c>
      <c r="I57" s="321">
        <f>AVERAGE(I52:I56)</f>
        <v>0.125</v>
      </c>
    </row>
    <row r="59" spans="2:9" ht="15.75" thickBot="1">
      <c r="B59" s="1" t="s">
        <v>31</v>
      </c>
      <c r="C59"/>
      <c r="D59"/>
      <c r="E59"/>
      <c r="F59"/>
      <c r="G59"/>
      <c r="H59"/>
      <c r="I59"/>
    </row>
    <row r="60" spans="3:9" ht="13.5" thickBot="1">
      <c r="C60" s="282" t="s">
        <v>184</v>
      </c>
      <c r="D60" s="299">
        <v>0</v>
      </c>
      <c r="E60" s="300">
        <f>D60+50000</f>
        <v>50000</v>
      </c>
      <c r="F60" s="300">
        <f>E60+50000</f>
        <v>100000</v>
      </c>
      <c r="G60" s="300">
        <f>F60+50000</f>
        <v>150000</v>
      </c>
      <c r="H60" s="300">
        <f>G60+50000</f>
        <v>200000</v>
      </c>
      <c r="I60" s="301">
        <f>H60+50000</f>
        <v>250000</v>
      </c>
    </row>
    <row r="61" spans="2:9" ht="13.5" thickBot="1">
      <c r="B61" s="329">
        <v>10</v>
      </c>
      <c r="C61" s="330" t="s">
        <v>32</v>
      </c>
      <c r="D61" s="331">
        <f aca="true" t="shared" si="29" ref="D61:I61">D12</f>
        <v>0.12</v>
      </c>
      <c r="E61" s="331">
        <f t="shared" si="29"/>
        <v>0.125</v>
      </c>
      <c r="F61" s="331">
        <f t="shared" si="29"/>
        <v>0.13</v>
      </c>
      <c r="G61" s="331">
        <f t="shared" si="29"/>
        <v>0.135</v>
      </c>
      <c r="H61" s="331">
        <f t="shared" si="29"/>
        <v>0.145</v>
      </c>
      <c r="I61" s="332">
        <f t="shared" si="29"/>
        <v>0.16</v>
      </c>
    </row>
    <row r="62" spans="2:9" ht="12.75">
      <c r="B62" s="20"/>
      <c r="C62" s="327" t="s">
        <v>33</v>
      </c>
      <c r="D62" s="327"/>
      <c r="E62" s="327"/>
      <c r="F62" s="262"/>
      <c r="G62" s="262"/>
      <c r="H62" s="262"/>
      <c r="I62" s="278"/>
    </row>
    <row r="63" spans="2:9" ht="12.75">
      <c r="B63" s="5">
        <v>41</v>
      </c>
      <c r="C63" s="260" t="s">
        <v>34</v>
      </c>
      <c r="D63" s="261">
        <f>D9-E9</f>
        <v>2062.5</v>
      </c>
      <c r="E63" s="261">
        <f>E9-F9</f>
        <v>2312.5</v>
      </c>
      <c r="F63" s="261">
        <f>F9-G9</f>
        <v>2937.5</v>
      </c>
      <c r="G63" s="261">
        <f>G9-H9</f>
        <v>3687.5</v>
      </c>
      <c r="H63" s="261">
        <f>H9-I9</f>
        <v>4625</v>
      </c>
      <c r="I63" s="6"/>
    </row>
    <row r="64" spans="2:9" ht="13.5" thickBot="1">
      <c r="B64" s="8">
        <v>42</v>
      </c>
      <c r="C64" s="10" t="s">
        <v>35</v>
      </c>
      <c r="D64" s="328">
        <f>D63/(D14-E14)</f>
        <v>0.05650684931506849</v>
      </c>
      <c r="E64" s="328">
        <f>E63/(E14-F14)</f>
        <v>0.06492980561555074</v>
      </c>
      <c r="F64" s="328">
        <f>F63/(F14-G14)</f>
        <v>0.07811079545454543</v>
      </c>
      <c r="G64" s="328">
        <f>G63/(G14-H14)</f>
        <v>0.07044373284537979</v>
      </c>
      <c r="H64" s="328">
        <f>H63/(H14-I14)</f>
        <v>0.07633614939973316</v>
      </c>
      <c r="I64" s="12"/>
    </row>
    <row r="66" spans="2:9" ht="15.75" thickBot="1">
      <c r="B66" s="1" t="s">
        <v>196</v>
      </c>
      <c r="C66"/>
      <c r="D66"/>
      <c r="E66"/>
      <c r="F66"/>
      <c r="G66"/>
      <c r="H66"/>
      <c r="I66"/>
    </row>
    <row r="67" spans="2:9" ht="13.5" thickBot="1">
      <c r="B67" s="13"/>
      <c r="C67" s="280" t="s">
        <v>184</v>
      </c>
      <c r="D67" s="322">
        <v>0</v>
      </c>
      <c r="E67" s="323">
        <f>D67+50000</f>
        <v>50000</v>
      </c>
      <c r="F67" s="323">
        <f>E67+50000</f>
        <v>100000</v>
      </c>
      <c r="G67" s="323">
        <f>F67+50000</f>
        <v>150000</v>
      </c>
      <c r="H67" s="323">
        <f>G67+50000</f>
        <v>200000</v>
      </c>
      <c r="I67" s="324">
        <f>H67+50000</f>
        <v>250000</v>
      </c>
    </row>
    <row r="68" spans="2:9" ht="12.75">
      <c r="B68" s="333">
        <v>43</v>
      </c>
      <c r="C68" s="336" t="s">
        <v>36</v>
      </c>
      <c r="D68" s="337">
        <f aca="true" t="shared" si="30" ref="D68:I68">D12-D11</f>
        <v>0.039999999999999994</v>
      </c>
      <c r="E68" s="337">
        <f t="shared" si="30"/>
        <v>0.042499999999999996</v>
      </c>
      <c r="F68" s="337">
        <f t="shared" si="30"/>
        <v>0.04250000000000001</v>
      </c>
      <c r="G68" s="337">
        <f t="shared" si="30"/>
        <v>0.037500000000000006</v>
      </c>
      <c r="H68" s="337">
        <f t="shared" si="30"/>
        <v>0.03499999999999999</v>
      </c>
      <c r="I68" s="337">
        <f t="shared" si="30"/>
        <v>0.035</v>
      </c>
    </row>
    <row r="69" spans="2:9" ht="12.75">
      <c r="B69" s="333">
        <v>44</v>
      </c>
      <c r="C69" s="334" t="s">
        <v>37</v>
      </c>
      <c r="D69" s="335">
        <f aca="true" t="shared" si="31" ref="D69:I69">D12-D11*(1-D30)</f>
        <v>0.07999999999999999</v>
      </c>
      <c r="E69" s="335">
        <f t="shared" si="31"/>
        <v>0.08374999999999999</v>
      </c>
      <c r="F69" s="335">
        <f t="shared" si="31"/>
        <v>0.08625000000000001</v>
      </c>
      <c r="G69" s="335">
        <f t="shared" si="31"/>
        <v>0.08625000000000001</v>
      </c>
      <c r="H69" s="335">
        <f t="shared" si="31"/>
        <v>0.09</v>
      </c>
      <c r="I69" s="335">
        <f t="shared" si="31"/>
        <v>0.0975</v>
      </c>
    </row>
    <row r="72" ht="15.75" thickBot="1">
      <c r="B72" s="15" t="s">
        <v>197</v>
      </c>
    </row>
    <row r="73" spans="2:9" ht="15.75" thickBot="1">
      <c r="B73" s="16"/>
      <c r="C73" s="280" t="s">
        <v>184</v>
      </c>
      <c r="D73" s="322">
        <v>0</v>
      </c>
      <c r="E73" s="323">
        <f>D73+50000</f>
        <v>50000</v>
      </c>
      <c r="F73" s="323">
        <f>E73+50000</f>
        <v>100000</v>
      </c>
      <c r="G73" s="323">
        <f>F73+50000</f>
        <v>150000</v>
      </c>
      <c r="H73" s="323">
        <f>G73+50000</f>
        <v>200000</v>
      </c>
      <c r="I73" s="324">
        <f>H73+50000</f>
        <v>250000</v>
      </c>
    </row>
    <row r="74" spans="2:9" ht="15">
      <c r="B74" s="5">
        <v>20</v>
      </c>
      <c r="C74" s="365" t="s">
        <v>38</v>
      </c>
      <c r="D74" s="365"/>
      <c r="E74" s="365"/>
      <c r="F74" s="365"/>
      <c r="G74" s="365"/>
      <c r="H74" s="269"/>
      <c r="I74" s="6"/>
    </row>
    <row r="75" spans="2:9" ht="15.75" thickBot="1">
      <c r="B75" s="8"/>
      <c r="C75" s="11"/>
      <c r="D75" s="283"/>
      <c r="E75" s="338">
        <f>E22</f>
        <v>102.70330157323288</v>
      </c>
      <c r="F75" s="338">
        <f>F22</f>
        <v>105.57232059822734</v>
      </c>
      <c r="G75" s="339">
        <f>G22</f>
        <v>108.05032607358189</v>
      </c>
      <c r="H75" s="338">
        <f>H22</f>
        <v>107.5870851584714</v>
      </c>
      <c r="I75" s="340">
        <f>I22</f>
        <v>105.45389733840304</v>
      </c>
    </row>
    <row r="76" spans="2:9" ht="15">
      <c r="B76" s="5">
        <v>45</v>
      </c>
      <c r="C76" s="366" t="s">
        <v>39</v>
      </c>
      <c r="D76" s="366"/>
      <c r="E76" s="366"/>
      <c r="F76" s="366"/>
      <c r="G76" s="366"/>
      <c r="H76" s="366"/>
      <c r="I76" s="6"/>
    </row>
    <row r="77" spans="2:9" ht="15.75" thickBot="1">
      <c r="B77" s="8"/>
      <c r="C77" s="11"/>
      <c r="D77" s="283"/>
      <c r="E77" s="338">
        <f>E75</f>
        <v>102.70330157323288</v>
      </c>
      <c r="F77" s="338">
        <f>F14/F78</f>
        <v>106.27184612087089</v>
      </c>
      <c r="G77" s="339">
        <f>G14/G78</f>
        <v>109.75715405132637</v>
      </c>
      <c r="H77" s="338">
        <f>H14/H78</f>
        <v>109.00020816131725</v>
      </c>
      <c r="I77" s="340">
        <f>I14/I78</f>
        <v>104.99224766287058</v>
      </c>
    </row>
    <row r="78" spans="3:9" s="303" customFormat="1" ht="12.75">
      <c r="C78" s="303" t="s">
        <v>198</v>
      </c>
      <c r="D78" s="303">
        <v>5000</v>
      </c>
      <c r="E78" s="303">
        <f>D78-E79</f>
        <v>4513.160733549083</v>
      </c>
      <c r="F78" s="303">
        <f>E78-F79</f>
        <v>4026.3214670981656</v>
      </c>
      <c r="G78" s="303">
        <f>F78-G79</f>
        <v>3555.8299698192786</v>
      </c>
      <c r="H78" s="303">
        <f>G78-H79</f>
        <v>3100.2787993086235</v>
      </c>
      <c r="I78" s="303">
        <f>H78-I79</f>
        <v>2641.564079002756</v>
      </c>
    </row>
    <row r="79" spans="3:9" s="303" customFormat="1" ht="12.75">
      <c r="C79" s="303" t="s">
        <v>199</v>
      </c>
      <c r="E79" s="303">
        <f>50000/E77</f>
        <v>486.83926645091697</v>
      </c>
      <c r="F79" s="303">
        <f>50000/E77</f>
        <v>486.83926645091697</v>
      </c>
      <c r="G79" s="303">
        <f>50000/F77</f>
        <v>470.49149727888675</v>
      </c>
      <c r="H79" s="303">
        <f>50000/G77</f>
        <v>455.55117051065497</v>
      </c>
      <c r="I79" s="303">
        <f>50000/H77</f>
        <v>458.71472030586773</v>
      </c>
    </row>
    <row r="82" spans="2:3" ht="15.75" thickBot="1">
      <c r="B82" s="1" t="s">
        <v>40</v>
      </c>
      <c r="C82"/>
    </row>
    <row r="83" spans="2:9" ht="13.5" thickBot="1">
      <c r="B83" s="13"/>
      <c r="C83" s="282" t="s">
        <v>184</v>
      </c>
      <c r="D83" s="299">
        <v>0</v>
      </c>
      <c r="E83" s="300">
        <f>D83+50000</f>
        <v>50000</v>
      </c>
      <c r="F83" s="300">
        <f>E83+50000</f>
        <v>100000</v>
      </c>
      <c r="G83" s="300">
        <f>F83+50000</f>
        <v>150000</v>
      </c>
      <c r="H83" s="300">
        <f>G83+50000</f>
        <v>200000</v>
      </c>
      <c r="I83" s="301">
        <f>H83+50000</f>
        <v>250000</v>
      </c>
    </row>
    <row r="84" spans="2:9" ht="12.75">
      <c r="B84" s="20">
        <v>46</v>
      </c>
      <c r="C84" s="26" t="s">
        <v>41</v>
      </c>
      <c r="D84" s="345">
        <v>0</v>
      </c>
      <c r="E84" s="346">
        <f>(E5-$D11*E83)/(E5+E83)</f>
        <v>0.0023094688221709007</v>
      </c>
      <c r="F84" s="346">
        <f>(F5-$D11*F83)/(F5+F83)</f>
        <v>0.006896551724137931</v>
      </c>
      <c r="G84" s="346">
        <f>(G5-$D11*G83)/(G5+G83)</f>
        <v>0.015945330296127564</v>
      </c>
      <c r="H84" s="346">
        <f>(H5-$D11*H83)/(H5+H83)</f>
        <v>0.02702702702702703</v>
      </c>
      <c r="I84" s="347">
        <f>(I5-$D11*I83)/(I5+I83)</f>
        <v>0.04</v>
      </c>
    </row>
    <row r="85" spans="2:9" ht="13.5" thickBot="1">
      <c r="B85" s="8">
        <v>47</v>
      </c>
      <c r="C85" s="10" t="s">
        <v>42</v>
      </c>
      <c r="D85" s="348">
        <v>0</v>
      </c>
      <c r="E85" s="294">
        <f>(E9-E14*$D12)/(E9+E14)</f>
        <v>0.0044444444444444444</v>
      </c>
      <c r="F85" s="294">
        <f>(F9-F14*$D12)/(F9+F14)</f>
        <v>0.008849557522123899</v>
      </c>
      <c r="G85" s="294">
        <f>(G9-G14*$D12)/(G9+G14)</f>
        <v>0.013215859030837017</v>
      </c>
      <c r="H85" s="294">
        <f>(H9-H14*$D12)/(H9+H14)</f>
        <v>0.02183406113537117</v>
      </c>
      <c r="I85" s="295">
        <f>(I9-I14*$D12)/(I9+I14)</f>
        <v>0.034482758620689655</v>
      </c>
    </row>
    <row r="86" spans="2:9" s="281" customFormat="1" ht="12.75">
      <c r="B86" s="344"/>
      <c r="C86" s="357" t="s">
        <v>43</v>
      </c>
      <c r="D86" s="349">
        <v>0.08</v>
      </c>
      <c r="E86" s="350">
        <f>$D86+E83*(1-E30)*($D12-$D11)/(E88+E83*(1-E30))</f>
        <v>0.082</v>
      </c>
      <c r="F86" s="350">
        <f>$D86+F83*(1-F30)*($D12-$D11)/(F88+F83*(1-F30))</f>
        <v>0.084</v>
      </c>
      <c r="G86" s="350">
        <f>$D86+G83*(1-G30)*($D12-$D11)/(G88+G83*(1-G30))</f>
        <v>0.08600000000000001</v>
      </c>
      <c r="H86" s="350">
        <f>$D86+H83*(1-H30)*($D12-$D11)/(H88+H83*(1-H30))</f>
        <v>0.088</v>
      </c>
      <c r="I86" s="351">
        <f>$D86+I83*(1-I30)*($D12-$D11)/(I88+I83*(1-I30))</f>
        <v>0.09</v>
      </c>
    </row>
    <row r="87" spans="2:9" s="281" customFormat="1" ht="12.75">
      <c r="B87" s="344"/>
      <c r="C87" s="358" t="s">
        <v>44</v>
      </c>
      <c r="D87" s="352">
        <v>0.12</v>
      </c>
      <c r="E87" s="353">
        <f>E89/E88</f>
        <v>0.122</v>
      </c>
      <c r="F87" s="353">
        <f>F89/F88</f>
        <v>0.124</v>
      </c>
      <c r="G87" s="353">
        <f>G89/G88</f>
        <v>0.126</v>
      </c>
      <c r="H87" s="353">
        <f>H89/H88</f>
        <v>0.128</v>
      </c>
      <c r="I87" s="354">
        <f>I89/I88</f>
        <v>0.13</v>
      </c>
    </row>
    <row r="88" spans="2:9" s="281" customFormat="1" ht="12.75">
      <c r="B88" s="344"/>
      <c r="C88" s="358" t="s">
        <v>200</v>
      </c>
      <c r="D88" s="311">
        <v>500000</v>
      </c>
      <c r="E88" s="311">
        <f>$D88+E83*E30-E83</f>
        <v>475000</v>
      </c>
      <c r="F88" s="311">
        <f>$D88+F83*F30-F83</f>
        <v>450000</v>
      </c>
      <c r="G88" s="311">
        <f>$D88+G83*G30-G83</f>
        <v>425000</v>
      </c>
      <c r="H88" s="311">
        <f>$D88+H83*H30-H83</f>
        <v>400000</v>
      </c>
      <c r="I88" s="312">
        <f>$D88+I83*I30-I83</f>
        <v>375000</v>
      </c>
    </row>
    <row r="89" spans="2:9" s="281" customFormat="1" ht="13.5" thickBot="1">
      <c r="B89" s="344"/>
      <c r="C89" s="359" t="s">
        <v>201</v>
      </c>
      <c r="D89" s="355">
        <f>D9</f>
        <v>60000</v>
      </c>
      <c r="E89" s="355">
        <f>E9+E83*(E11-E86)*(1-E30)</f>
        <v>57950</v>
      </c>
      <c r="F89" s="355">
        <f>F9+F83*(F11-F86)*(1-F30)</f>
        <v>55800</v>
      </c>
      <c r="G89" s="355">
        <f>G9+G83*(G11-G86)*(1-G30)</f>
        <v>53550</v>
      </c>
      <c r="H89" s="355">
        <f>H9+H83*(H11-H86)*(1-H30)</f>
        <v>51200</v>
      </c>
      <c r="I89" s="356">
        <f>I9+I83*(I11-I86)*(1-I30)</f>
        <v>48750</v>
      </c>
    </row>
    <row r="90" spans="2:4" s="281" customFormat="1" ht="12.75">
      <c r="B90" s="341"/>
      <c r="C90" s="343"/>
      <c r="D90" s="342"/>
    </row>
  </sheetData>
  <sheetProtection/>
  <mergeCells count="2">
    <mergeCell ref="C74:G74"/>
    <mergeCell ref="C76:H7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0"/>
  <sheetViews>
    <sheetView zoomScalePageLayoutView="0" workbookViewId="0" topLeftCell="A1">
      <selection activeCell="E18" sqref="E18"/>
    </sheetView>
  </sheetViews>
  <sheetFormatPr defaultColWidth="11.421875" defaultRowHeight="15"/>
  <cols>
    <col min="1" max="1" width="9.140625" style="0" customWidth="1"/>
    <col min="2" max="2" width="2.8515625" style="27" customWidth="1"/>
    <col min="3" max="3" width="34.8515625" style="0" customWidth="1"/>
    <col min="4" max="9" width="9.28125" style="0" customWidth="1"/>
    <col min="10" max="16384" width="9.140625" style="0" customWidth="1"/>
  </cols>
  <sheetData>
    <row r="1" spans="2:9" ht="15">
      <c r="B1" s="156"/>
      <c r="C1" s="29"/>
      <c r="D1" s="29"/>
      <c r="E1" s="29"/>
      <c r="F1" s="29"/>
      <c r="G1" s="29"/>
      <c r="H1" s="29"/>
      <c r="I1" s="29"/>
    </row>
    <row r="2" spans="3:9" ht="15">
      <c r="C2" s="29" t="s">
        <v>154</v>
      </c>
      <c r="D2" s="1" t="s">
        <v>45</v>
      </c>
      <c r="E2" s="29"/>
      <c r="F2" s="29"/>
      <c r="G2" s="29"/>
      <c r="H2" s="29"/>
      <c r="I2" s="29"/>
    </row>
    <row r="3" spans="4:9" ht="15">
      <c r="D3" s="30">
        <v>0</v>
      </c>
      <c r="E3" s="30">
        <v>0.1</v>
      </c>
      <c r="F3" s="30">
        <v>0.2</v>
      </c>
      <c r="G3" s="30">
        <v>0.3</v>
      </c>
      <c r="H3" s="30">
        <v>0.4</v>
      </c>
      <c r="I3" s="30">
        <v>0.5</v>
      </c>
    </row>
    <row r="4" spans="2:9" ht="15">
      <c r="B4" s="157">
        <v>1</v>
      </c>
      <c r="C4" s="32" t="s">
        <v>1</v>
      </c>
      <c r="D4" s="158">
        <v>0</v>
      </c>
      <c r="E4" s="158">
        <v>0.1</v>
      </c>
      <c r="F4" s="158">
        <v>0.2</v>
      </c>
      <c r="G4" s="158">
        <v>0.3</v>
      </c>
      <c r="H4" s="158">
        <v>0.4</v>
      </c>
      <c r="I4" s="159">
        <v>0.5</v>
      </c>
    </row>
    <row r="5" spans="2:9" ht="15">
      <c r="B5" s="57">
        <v>2</v>
      </c>
      <c r="C5" s="35" t="s">
        <v>134</v>
      </c>
      <c r="D5" s="58">
        <v>120000</v>
      </c>
      <c r="E5" s="58">
        <v>120000</v>
      </c>
      <c r="F5" s="58">
        <v>120000</v>
      </c>
      <c r="G5" s="58">
        <v>120000</v>
      </c>
      <c r="H5" s="58">
        <v>120000</v>
      </c>
      <c r="I5" s="84">
        <v>120000</v>
      </c>
    </row>
    <row r="6" spans="2:9" ht="15">
      <c r="B6" s="57">
        <v>3</v>
      </c>
      <c r="C6" s="35" t="s">
        <v>3</v>
      </c>
      <c r="D6" s="58">
        <f aca="true" t="shared" si="0" ref="D6:I6">D12*D18</f>
        <v>0</v>
      </c>
      <c r="E6" s="58">
        <f t="shared" si="0"/>
        <v>4125</v>
      </c>
      <c r="F6" s="58">
        <f t="shared" si="0"/>
        <v>8750</v>
      </c>
      <c r="G6" s="58">
        <f t="shared" si="0"/>
        <v>14625</v>
      </c>
      <c r="H6" s="58">
        <f t="shared" si="0"/>
        <v>22000</v>
      </c>
      <c r="I6" s="84">
        <f t="shared" si="0"/>
        <v>31250</v>
      </c>
    </row>
    <row r="7" spans="2:9" ht="15">
      <c r="B7" s="57">
        <v>4</v>
      </c>
      <c r="C7" s="35" t="s">
        <v>135</v>
      </c>
      <c r="D7" s="58">
        <f aca="true" t="shared" si="1" ref="D7:I7">D5-D6</f>
        <v>120000</v>
      </c>
      <c r="E7" s="58">
        <f t="shared" si="1"/>
        <v>115875</v>
      </c>
      <c r="F7" s="58">
        <f t="shared" si="1"/>
        <v>111250</v>
      </c>
      <c r="G7" s="58">
        <f t="shared" si="1"/>
        <v>105375</v>
      </c>
      <c r="H7" s="58">
        <f t="shared" si="1"/>
        <v>98000</v>
      </c>
      <c r="I7" s="84">
        <f t="shared" si="1"/>
        <v>88750</v>
      </c>
    </row>
    <row r="8" spans="2:9" ht="15">
      <c r="B8" s="57">
        <v>5</v>
      </c>
      <c r="C8" s="35" t="s">
        <v>5</v>
      </c>
      <c r="D8" s="58">
        <f aca="true" t="shared" si="2" ref="D8:I8">D7*0.5</f>
        <v>60000</v>
      </c>
      <c r="E8" s="58">
        <f t="shared" si="2"/>
        <v>57937.5</v>
      </c>
      <c r="F8" s="58">
        <f t="shared" si="2"/>
        <v>55625</v>
      </c>
      <c r="G8" s="58">
        <f t="shared" si="2"/>
        <v>52687.5</v>
      </c>
      <c r="H8" s="58">
        <f t="shared" si="2"/>
        <v>49000</v>
      </c>
      <c r="I8" s="84">
        <f t="shared" si="2"/>
        <v>44375</v>
      </c>
    </row>
    <row r="9" spans="2:9" ht="15">
      <c r="B9" s="57">
        <v>6</v>
      </c>
      <c r="C9" s="35" t="s">
        <v>136</v>
      </c>
      <c r="D9" s="58">
        <f aca="true" t="shared" si="3" ref="D9:I9">D7-D8</f>
        <v>60000</v>
      </c>
      <c r="E9" s="58">
        <f t="shared" si="3"/>
        <v>57937.5</v>
      </c>
      <c r="F9" s="58">
        <f t="shared" si="3"/>
        <v>55625</v>
      </c>
      <c r="G9" s="58">
        <f t="shared" si="3"/>
        <v>52687.5</v>
      </c>
      <c r="H9" s="58">
        <f t="shared" si="3"/>
        <v>49000</v>
      </c>
      <c r="I9" s="84">
        <f t="shared" si="3"/>
        <v>44375</v>
      </c>
    </row>
    <row r="10" spans="2:9" ht="15">
      <c r="B10" s="57">
        <v>7</v>
      </c>
      <c r="C10" s="35" t="s">
        <v>7</v>
      </c>
      <c r="D10" s="58">
        <f aca="true" t="shared" si="4" ref="D10:I10">D9</f>
        <v>60000</v>
      </c>
      <c r="E10" s="58">
        <f t="shared" si="4"/>
        <v>57937.5</v>
      </c>
      <c r="F10" s="58">
        <f t="shared" si="4"/>
        <v>55625</v>
      </c>
      <c r="G10" s="58">
        <f t="shared" si="4"/>
        <v>52687.5</v>
      </c>
      <c r="H10" s="58">
        <f t="shared" si="4"/>
        <v>49000</v>
      </c>
      <c r="I10" s="84">
        <f t="shared" si="4"/>
        <v>44375</v>
      </c>
    </row>
    <row r="11" spans="2:9" ht="15.75" thickBot="1">
      <c r="B11" s="59">
        <v>8</v>
      </c>
      <c r="C11" s="38" t="s">
        <v>137</v>
      </c>
      <c r="D11" s="60">
        <f aca="true" t="shared" si="5" ref="D11:I11">D10+D6</f>
        <v>60000</v>
      </c>
      <c r="E11" s="60">
        <f t="shared" si="5"/>
        <v>62062.5</v>
      </c>
      <c r="F11" s="60">
        <f t="shared" si="5"/>
        <v>64375</v>
      </c>
      <c r="G11" s="60">
        <f t="shared" si="5"/>
        <v>67312.5</v>
      </c>
      <c r="H11" s="60">
        <f t="shared" si="5"/>
        <v>71000</v>
      </c>
      <c r="I11" s="61">
        <f t="shared" si="5"/>
        <v>75625</v>
      </c>
    </row>
    <row r="12" spans="2:9" ht="15">
      <c r="B12" s="57">
        <v>9</v>
      </c>
      <c r="C12" s="40" t="s">
        <v>46</v>
      </c>
      <c r="D12" s="160">
        <v>0.08</v>
      </c>
      <c r="E12" s="160">
        <v>0.0825</v>
      </c>
      <c r="F12" s="160">
        <v>0.0875</v>
      </c>
      <c r="G12" s="160">
        <v>0.0975</v>
      </c>
      <c r="H12" s="160">
        <v>0.11</v>
      </c>
      <c r="I12" s="161">
        <v>0.125</v>
      </c>
    </row>
    <row r="13" spans="2:9" ht="15">
      <c r="B13" s="57" t="s">
        <v>47</v>
      </c>
      <c r="C13" s="40" t="s">
        <v>48</v>
      </c>
      <c r="D13" s="160">
        <f aca="true" t="shared" si="6" ref="D13:I13">0.08+D15*0.5*(0.12-0.08)/(D16+D15*0.5)</f>
        <v>0.08</v>
      </c>
      <c r="E13" s="160">
        <f t="shared" si="6"/>
        <v>0.08201190307520001</v>
      </c>
      <c r="F13" s="160">
        <f t="shared" si="6"/>
        <v>0.08415880433163923</v>
      </c>
      <c r="G13" s="160">
        <f t="shared" si="6"/>
        <v>0.08674398357008098</v>
      </c>
      <c r="H13" s="160">
        <f t="shared" si="6"/>
        <v>0.08979959839195494</v>
      </c>
      <c r="I13" s="161">
        <f t="shared" si="6"/>
        <v>0.09338539126015656</v>
      </c>
    </row>
    <row r="14" spans="2:9" ht="15.75" thickBot="1">
      <c r="B14" s="59">
        <v>10</v>
      </c>
      <c r="C14" s="42" t="s">
        <v>10</v>
      </c>
      <c r="D14" s="162">
        <f aca="true" t="shared" si="7" ref="D14:I14">0.12+(D13-0.08)</f>
        <v>0.12</v>
      </c>
      <c r="E14" s="162">
        <f t="shared" si="7"/>
        <v>0.1220119030752</v>
      </c>
      <c r="F14" s="162">
        <f t="shared" si="7"/>
        <v>0.12415880433163923</v>
      </c>
      <c r="G14" s="162">
        <f t="shared" si="7"/>
        <v>0.126743983570081</v>
      </c>
      <c r="H14" s="162">
        <f t="shared" si="7"/>
        <v>0.12979959839195493</v>
      </c>
      <c r="I14" s="163">
        <f t="shared" si="7"/>
        <v>0.13338539126015656</v>
      </c>
    </row>
    <row r="15" spans="2:9" ht="15">
      <c r="B15" s="57">
        <v>11</v>
      </c>
      <c r="C15" s="44" t="s">
        <v>49</v>
      </c>
      <c r="D15" s="58">
        <f aca="true" t="shared" si="8" ref="D15:I15">D6/D13</f>
        <v>0</v>
      </c>
      <c r="E15" s="58">
        <f t="shared" si="8"/>
        <v>50297.57688000023</v>
      </c>
      <c r="F15" s="58">
        <f t="shared" si="8"/>
        <v>103970.10829098086</v>
      </c>
      <c r="G15" s="58">
        <f t="shared" si="8"/>
        <v>168599.58925202434</v>
      </c>
      <c r="H15" s="58">
        <f t="shared" si="8"/>
        <v>244989.95979887323</v>
      </c>
      <c r="I15" s="84">
        <f t="shared" si="8"/>
        <v>334634.78150391387</v>
      </c>
    </row>
    <row r="16" spans="2:9" ht="15">
      <c r="B16" s="57">
        <v>12</v>
      </c>
      <c r="C16" s="44" t="s">
        <v>50</v>
      </c>
      <c r="D16" s="164">
        <f aca="true" t="shared" si="9" ref="D16:I16">D10/D14</f>
        <v>500000</v>
      </c>
      <c r="E16" s="164">
        <f t="shared" si="9"/>
        <v>474851.2115599999</v>
      </c>
      <c r="F16" s="164">
        <f t="shared" si="9"/>
        <v>448014.9458545096</v>
      </c>
      <c r="G16" s="164">
        <f t="shared" si="9"/>
        <v>415700.2053739878</v>
      </c>
      <c r="H16" s="164">
        <f t="shared" si="9"/>
        <v>377505.02010056336</v>
      </c>
      <c r="I16" s="165">
        <f t="shared" si="9"/>
        <v>332682.60924804304</v>
      </c>
    </row>
    <row r="17" spans="2:9" ht="15.75" thickBot="1">
      <c r="B17" s="59">
        <v>13</v>
      </c>
      <c r="C17" s="46" t="s">
        <v>13</v>
      </c>
      <c r="D17" s="60">
        <f aca="true" t="shared" si="10" ref="D17:I17">D15+D16</f>
        <v>500000</v>
      </c>
      <c r="E17" s="60">
        <f t="shared" si="10"/>
        <v>525148.7884400001</v>
      </c>
      <c r="F17" s="60">
        <f t="shared" si="10"/>
        <v>551985.0541454905</v>
      </c>
      <c r="G17" s="60">
        <f t="shared" si="10"/>
        <v>584299.7946260121</v>
      </c>
      <c r="H17" s="60">
        <f t="shared" si="10"/>
        <v>622494.9798994366</v>
      </c>
      <c r="I17" s="61">
        <f t="shared" si="10"/>
        <v>667317.390751957</v>
      </c>
    </row>
    <row r="18" spans="2:9" ht="15">
      <c r="B18" s="57">
        <v>14</v>
      </c>
      <c r="C18" s="44" t="s">
        <v>138</v>
      </c>
      <c r="D18" s="44">
        <v>0</v>
      </c>
      <c r="E18" s="58">
        <v>50000</v>
      </c>
      <c r="F18" s="58">
        <v>100000</v>
      </c>
      <c r="G18" s="58">
        <v>150000</v>
      </c>
      <c r="H18" s="58">
        <v>200000</v>
      </c>
      <c r="I18" s="84">
        <v>250000</v>
      </c>
    </row>
    <row r="19" spans="2:9" ht="15">
      <c r="B19" s="57">
        <v>15</v>
      </c>
      <c r="C19" s="44" t="s">
        <v>139</v>
      </c>
      <c r="D19" s="164">
        <v>500000</v>
      </c>
      <c r="E19" s="164">
        <v>450000</v>
      </c>
      <c r="F19" s="164">
        <v>400000</v>
      </c>
      <c r="G19" s="164">
        <v>350000</v>
      </c>
      <c r="H19" s="164">
        <v>300000</v>
      </c>
      <c r="I19" s="165">
        <v>250000</v>
      </c>
    </row>
    <row r="20" spans="2:9" ht="15.75" thickBot="1">
      <c r="B20" s="59">
        <v>16</v>
      </c>
      <c r="C20" s="46" t="s">
        <v>140</v>
      </c>
      <c r="D20" s="60">
        <v>500000</v>
      </c>
      <c r="E20" s="60">
        <v>500000</v>
      </c>
      <c r="F20" s="60">
        <v>500000</v>
      </c>
      <c r="G20" s="60">
        <v>500000</v>
      </c>
      <c r="H20" s="60">
        <v>500000</v>
      </c>
      <c r="I20" s="61">
        <v>500000</v>
      </c>
    </row>
    <row r="21" spans="2:9" ht="15">
      <c r="B21" s="57">
        <v>17</v>
      </c>
      <c r="C21" s="44" t="s">
        <v>141</v>
      </c>
      <c r="D21" s="166">
        <v>0.12</v>
      </c>
      <c r="E21" s="166">
        <v>0.12</v>
      </c>
      <c r="F21" s="166">
        <v>0.12</v>
      </c>
      <c r="G21" s="166">
        <v>0.12</v>
      </c>
      <c r="H21" s="166">
        <v>0.12</v>
      </c>
      <c r="I21" s="167">
        <v>0.12</v>
      </c>
    </row>
    <row r="22" spans="2:9" ht="15.75" thickBot="1">
      <c r="B22" s="59">
        <v>18</v>
      </c>
      <c r="C22" s="46" t="s">
        <v>92</v>
      </c>
      <c r="D22" s="168">
        <f aca="true" t="shared" si="11" ref="D22:I22">D9/D19</f>
        <v>0.12</v>
      </c>
      <c r="E22" s="168">
        <f t="shared" si="11"/>
        <v>0.12875</v>
      </c>
      <c r="F22" s="168">
        <f t="shared" si="11"/>
        <v>0.1390625</v>
      </c>
      <c r="G22" s="168">
        <f t="shared" si="11"/>
        <v>0.15053571428571427</v>
      </c>
      <c r="H22" s="168">
        <f t="shared" si="11"/>
        <v>0.16333333333333333</v>
      </c>
      <c r="I22" s="169">
        <f t="shared" si="11"/>
        <v>0.1775</v>
      </c>
    </row>
    <row r="23" spans="2:9" ht="15">
      <c r="B23" s="57">
        <v>19</v>
      </c>
      <c r="C23" s="44" t="s">
        <v>19</v>
      </c>
      <c r="D23" s="58">
        <v>5000</v>
      </c>
      <c r="E23" s="58">
        <f>5000/(1+E18/E16)</f>
        <v>4523.674530050274</v>
      </c>
      <c r="F23" s="58">
        <f>5000/(1+F18/F16)</f>
        <v>4087.6161247384243</v>
      </c>
      <c r="G23" s="58">
        <f>5000/(1+G18/G16)</f>
        <v>3674.209425990626</v>
      </c>
      <c r="H23" s="58">
        <f>5000/(1+H18/H16)</f>
        <v>3268.41332076063</v>
      </c>
      <c r="I23" s="84">
        <f>5000/(1+I18/I16)</f>
        <v>2854.749772585223</v>
      </c>
    </row>
    <row r="24" spans="2:9" ht="15.75" thickBot="1">
      <c r="B24" s="59">
        <v>20</v>
      </c>
      <c r="C24" s="46" t="s">
        <v>20</v>
      </c>
      <c r="D24" s="46">
        <f aca="true" t="shared" si="12" ref="D24:I24">D16/D23</f>
        <v>100</v>
      </c>
      <c r="E24" s="170">
        <f t="shared" si="12"/>
        <v>104.97024231199997</v>
      </c>
      <c r="F24" s="170">
        <f t="shared" si="12"/>
        <v>109.60298917090192</v>
      </c>
      <c r="G24" s="170">
        <f t="shared" si="12"/>
        <v>113.14004107479755</v>
      </c>
      <c r="H24" s="170">
        <f t="shared" si="12"/>
        <v>115.50100402011267</v>
      </c>
      <c r="I24" s="171">
        <f t="shared" si="12"/>
        <v>116.5365218496086</v>
      </c>
    </row>
    <row r="25" spans="2:9" ht="15">
      <c r="B25" s="57">
        <v>21</v>
      </c>
      <c r="C25" s="44" t="s">
        <v>21</v>
      </c>
      <c r="D25" s="44">
        <f aca="true" t="shared" si="13" ref="D25:I25">D9/D23</f>
        <v>12</v>
      </c>
      <c r="E25" s="172">
        <f t="shared" si="13"/>
        <v>12.807619030751999</v>
      </c>
      <c r="F25" s="172">
        <f t="shared" si="13"/>
        <v>13.608176086632785</v>
      </c>
      <c r="G25" s="172">
        <f t="shared" si="13"/>
        <v>14.33981950710243</v>
      </c>
      <c r="H25" s="172">
        <f t="shared" si="13"/>
        <v>14.991983935678197</v>
      </c>
      <c r="I25" s="173">
        <f t="shared" si="13"/>
        <v>15.544269563007827</v>
      </c>
    </row>
    <row r="26" spans="2:9" ht="15">
      <c r="B26" s="57">
        <v>22</v>
      </c>
      <c r="C26" s="44" t="s">
        <v>129</v>
      </c>
      <c r="D26" s="174">
        <f aca="true" t="shared" si="14" ref="D26:I26">D24/D25</f>
        <v>8.333333333333334</v>
      </c>
      <c r="E26" s="174">
        <f t="shared" si="14"/>
        <v>8.195921666623514</v>
      </c>
      <c r="F26" s="174">
        <f t="shared" si="14"/>
        <v>8.054201273788937</v>
      </c>
      <c r="G26" s="174">
        <f t="shared" si="14"/>
        <v>7.8899208611907525</v>
      </c>
      <c r="H26" s="174">
        <f t="shared" si="14"/>
        <v>7.704184083684967</v>
      </c>
      <c r="I26" s="175">
        <f t="shared" si="14"/>
        <v>7.497072884462942</v>
      </c>
    </row>
    <row r="27" spans="2:9" ht="15">
      <c r="B27" s="57">
        <v>23</v>
      </c>
      <c r="C27" s="44" t="s">
        <v>130</v>
      </c>
      <c r="D27" s="176">
        <v>0</v>
      </c>
      <c r="E27" s="176">
        <v>0.1</v>
      </c>
      <c r="F27" s="176">
        <v>0.2</v>
      </c>
      <c r="G27" s="176">
        <v>0.3</v>
      </c>
      <c r="H27" s="176">
        <v>0.4</v>
      </c>
      <c r="I27" s="177">
        <v>0.5</v>
      </c>
    </row>
    <row r="28" spans="2:9" ht="15.75" thickBot="1">
      <c r="B28" s="59">
        <v>24</v>
      </c>
      <c r="C28" s="46" t="s">
        <v>93</v>
      </c>
      <c r="D28" s="168">
        <f aca="true" t="shared" si="15" ref="D28:I28">D15/D17</f>
        <v>0</v>
      </c>
      <c r="E28" s="168">
        <f t="shared" si="15"/>
        <v>0.09577776429688342</v>
      </c>
      <c r="F28" s="168">
        <f t="shared" si="15"/>
        <v>0.18835674536864677</v>
      </c>
      <c r="G28" s="168">
        <f t="shared" si="15"/>
        <v>0.2885498006377676</v>
      </c>
      <c r="H28" s="168">
        <f t="shared" si="15"/>
        <v>0.3935613421950023</v>
      </c>
      <c r="I28" s="169">
        <f t="shared" si="15"/>
        <v>0.5014627014692896</v>
      </c>
    </row>
    <row r="29" spans="2:9" ht="15.75" thickBot="1">
      <c r="B29" s="178">
        <v>25</v>
      </c>
      <c r="C29" s="55" t="s">
        <v>25</v>
      </c>
      <c r="D29" s="179">
        <f aca="true" t="shared" si="16" ref="D29:I29">(D16*D14+D13*0.5*D15)/(D17)</f>
        <v>0.12</v>
      </c>
      <c r="E29" s="179">
        <f t="shared" si="16"/>
        <v>0.11425333414218698</v>
      </c>
      <c r="F29" s="179">
        <f t="shared" si="16"/>
        <v>0.10869859527788117</v>
      </c>
      <c r="G29" s="179">
        <f t="shared" si="16"/>
        <v>0.10268701196173396</v>
      </c>
      <c r="H29" s="179">
        <f t="shared" si="16"/>
        <v>0.09638631946829987</v>
      </c>
      <c r="I29" s="180">
        <f t="shared" si="16"/>
        <v>0.08991223791184262</v>
      </c>
    </row>
    <row r="30" spans="2:9" ht="15">
      <c r="B30" s="57">
        <v>26</v>
      </c>
      <c r="C30" s="44" t="s">
        <v>126</v>
      </c>
      <c r="D30" s="58">
        <f aca="true" t="shared" si="17" ref="D30:I30">D5*0.5</f>
        <v>60000</v>
      </c>
      <c r="E30" s="58">
        <f t="shared" si="17"/>
        <v>60000</v>
      </c>
      <c r="F30" s="58">
        <f t="shared" si="17"/>
        <v>60000</v>
      </c>
      <c r="G30" s="58">
        <f t="shared" si="17"/>
        <v>60000</v>
      </c>
      <c r="H30" s="58">
        <f t="shared" si="17"/>
        <v>60000</v>
      </c>
      <c r="I30" s="84">
        <f t="shared" si="17"/>
        <v>60000</v>
      </c>
    </row>
    <row r="31" spans="2:9" ht="15.75" thickBot="1">
      <c r="B31" s="59">
        <v>27</v>
      </c>
      <c r="C31" s="46" t="s">
        <v>128</v>
      </c>
      <c r="D31" s="60">
        <f aca="true" t="shared" si="18" ref="D31:I31">D30/D29</f>
        <v>500000</v>
      </c>
      <c r="E31" s="60">
        <f t="shared" si="18"/>
        <v>525148.7884400001</v>
      </c>
      <c r="F31" s="60">
        <f t="shared" si="18"/>
        <v>551985.0541454905</v>
      </c>
      <c r="G31" s="60">
        <f t="shared" si="18"/>
        <v>584299.7946260121</v>
      </c>
      <c r="H31" s="60">
        <f t="shared" si="18"/>
        <v>622494.9798994366</v>
      </c>
      <c r="I31" s="61">
        <f t="shared" si="18"/>
        <v>667317.390751957</v>
      </c>
    </row>
    <row r="32" spans="2:9" ht="15">
      <c r="B32" s="57"/>
      <c r="C32" s="62" t="s">
        <v>94</v>
      </c>
      <c r="D32" s="44"/>
      <c r="E32" s="44"/>
      <c r="F32" s="44"/>
      <c r="G32" s="44"/>
      <c r="H32" s="44"/>
      <c r="I32" s="63"/>
    </row>
    <row r="33" spans="2:9" ht="15">
      <c r="B33" s="57"/>
      <c r="C33" s="62"/>
      <c r="D33" s="44"/>
      <c r="E33" s="44"/>
      <c r="F33" s="44"/>
      <c r="G33" s="44"/>
      <c r="H33" s="44"/>
      <c r="I33" s="63"/>
    </row>
    <row r="34" spans="2:9" ht="15">
      <c r="B34" s="64"/>
      <c r="C34" s="65" t="s">
        <v>127</v>
      </c>
      <c r="D34" s="65">
        <v>0</v>
      </c>
      <c r="E34" s="66">
        <f>D34+50000</f>
        <v>50000</v>
      </c>
      <c r="F34" s="66">
        <f>E34+50000</f>
        <v>100000</v>
      </c>
      <c r="G34" s="66">
        <f>F34+50000</f>
        <v>150000</v>
      </c>
      <c r="H34" s="66">
        <f>G34+50000</f>
        <v>200000</v>
      </c>
      <c r="I34" s="66">
        <f>H34+50000</f>
        <v>250000</v>
      </c>
    </row>
    <row r="35" spans="2:9" ht="15">
      <c r="B35" s="181">
        <v>5</v>
      </c>
      <c r="C35" s="68" t="s">
        <v>73</v>
      </c>
      <c r="D35" s="182">
        <f aca="true" t="shared" si="19" ref="D35:I35">D8</f>
        <v>60000</v>
      </c>
      <c r="E35" s="182">
        <f t="shared" si="19"/>
        <v>57937.5</v>
      </c>
      <c r="F35" s="182">
        <f t="shared" si="19"/>
        <v>55625</v>
      </c>
      <c r="G35" s="182">
        <f t="shared" si="19"/>
        <v>52687.5</v>
      </c>
      <c r="H35" s="182">
        <f t="shared" si="19"/>
        <v>49000</v>
      </c>
      <c r="I35" s="183">
        <f t="shared" si="19"/>
        <v>44375</v>
      </c>
    </row>
    <row r="36" spans="2:9" ht="15">
      <c r="B36" s="184">
        <v>3</v>
      </c>
      <c r="C36" s="35" t="s">
        <v>131</v>
      </c>
      <c r="D36" s="186">
        <f aca="true" t="shared" si="20" ref="D36:I36">D6</f>
        <v>0</v>
      </c>
      <c r="E36" s="186">
        <f t="shared" si="20"/>
        <v>4125</v>
      </c>
      <c r="F36" s="186">
        <f t="shared" si="20"/>
        <v>8750</v>
      </c>
      <c r="G36" s="186">
        <f t="shared" si="20"/>
        <v>14625</v>
      </c>
      <c r="H36" s="186">
        <f t="shared" si="20"/>
        <v>22000</v>
      </c>
      <c r="I36" s="187">
        <f t="shared" si="20"/>
        <v>31250</v>
      </c>
    </row>
    <row r="37" spans="2:9" ht="15.75" thickBot="1">
      <c r="B37" s="184">
        <v>7</v>
      </c>
      <c r="C37" s="35" t="s">
        <v>132</v>
      </c>
      <c r="D37" s="186">
        <f aca="true" t="shared" si="21" ref="D37:I37">D10</f>
        <v>60000</v>
      </c>
      <c r="E37" s="186">
        <f t="shared" si="21"/>
        <v>57937.5</v>
      </c>
      <c r="F37" s="186">
        <f t="shared" si="21"/>
        <v>55625</v>
      </c>
      <c r="G37" s="186">
        <f t="shared" si="21"/>
        <v>52687.5</v>
      </c>
      <c r="H37" s="186">
        <f t="shared" si="21"/>
        <v>49000</v>
      </c>
      <c r="I37" s="187">
        <f t="shared" si="21"/>
        <v>44375</v>
      </c>
    </row>
    <row r="38" spans="2:9" ht="15.75" thickBot="1">
      <c r="B38" s="188">
        <v>2</v>
      </c>
      <c r="C38" s="72" t="s">
        <v>133</v>
      </c>
      <c r="D38" s="189">
        <f aca="true" t="shared" si="22" ref="D38:I38">SUM(D35:D37)</f>
        <v>120000</v>
      </c>
      <c r="E38" s="189">
        <f t="shared" si="22"/>
        <v>120000</v>
      </c>
      <c r="F38" s="189">
        <f t="shared" si="22"/>
        <v>120000</v>
      </c>
      <c r="G38" s="189">
        <f t="shared" si="22"/>
        <v>120000</v>
      </c>
      <c r="H38" s="189">
        <f t="shared" si="22"/>
        <v>120000</v>
      </c>
      <c r="I38" s="190">
        <f t="shared" si="22"/>
        <v>120000</v>
      </c>
    </row>
    <row r="39" spans="2:9" ht="15.75" thickBot="1">
      <c r="B39" s="57">
        <v>28</v>
      </c>
      <c r="C39" s="44" t="s">
        <v>51</v>
      </c>
      <c r="D39" s="58">
        <f aca="true" t="shared" si="23" ref="D39:I39">D8/D14</f>
        <v>500000</v>
      </c>
      <c r="E39" s="58">
        <f t="shared" si="23"/>
        <v>474851.2115599999</v>
      </c>
      <c r="F39" s="58">
        <f t="shared" si="23"/>
        <v>448014.9458545096</v>
      </c>
      <c r="G39" s="58">
        <f t="shared" si="23"/>
        <v>415700.2053739878</v>
      </c>
      <c r="H39" s="58">
        <f t="shared" si="23"/>
        <v>377505.02010056336</v>
      </c>
      <c r="I39" s="84">
        <f t="shared" si="23"/>
        <v>332682.60924804304</v>
      </c>
    </row>
    <row r="40" spans="2:9" ht="15.75" thickBot="1">
      <c r="B40" s="178">
        <v>29</v>
      </c>
      <c r="C40" s="55" t="s">
        <v>52</v>
      </c>
      <c r="D40" s="191">
        <f aca="true" t="shared" si="24" ref="D40:I40">D39+D15+D16</f>
        <v>1000000</v>
      </c>
      <c r="E40" s="191">
        <f t="shared" si="24"/>
        <v>1000000</v>
      </c>
      <c r="F40" s="191">
        <f t="shared" si="24"/>
        <v>1000000.0000000001</v>
      </c>
      <c r="G40" s="191">
        <f t="shared" si="24"/>
        <v>999999.9999999999</v>
      </c>
      <c r="H40" s="191">
        <f t="shared" si="24"/>
        <v>1000000</v>
      </c>
      <c r="I40" s="192">
        <f t="shared" si="24"/>
        <v>1000000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26"/>
  <sheetViews>
    <sheetView zoomScalePageLayoutView="0" workbookViewId="0" topLeftCell="A1">
      <selection activeCell="K8" sqref="K8"/>
    </sheetView>
  </sheetViews>
  <sheetFormatPr defaultColWidth="11.421875" defaultRowHeight="15"/>
  <cols>
    <col min="1" max="1" width="3.28125" style="0" customWidth="1"/>
    <col min="2" max="2" width="2.8515625" style="27" customWidth="1"/>
    <col min="3" max="3" width="41.140625" style="0" customWidth="1"/>
    <col min="4" max="4" width="8.00390625" style="0" customWidth="1"/>
    <col min="5" max="9" width="8.57421875" style="0" customWidth="1"/>
    <col min="10" max="10" width="7.140625" style="0" customWidth="1"/>
    <col min="11" max="13" width="12.421875" style="0" customWidth="1"/>
    <col min="14" max="16384" width="9.140625" style="0" customWidth="1"/>
  </cols>
  <sheetData>
    <row r="1" spans="3:9" ht="15">
      <c r="C1" s="1" t="s">
        <v>53</v>
      </c>
      <c r="D1" s="29"/>
      <c r="E1" s="29"/>
      <c r="F1" s="29"/>
      <c r="G1" s="29"/>
      <c r="H1" s="29"/>
      <c r="I1" s="29"/>
    </row>
    <row r="2" spans="4:9" ht="15">
      <c r="D2" s="30">
        <v>0</v>
      </c>
      <c r="E2" s="30">
        <v>0.1</v>
      </c>
      <c r="F2" s="30">
        <v>0.2</v>
      </c>
      <c r="G2" s="30">
        <v>0.3</v>
      </c>
      <c r="H2" s="30">
        <v>0.4</v>
      </c>
      <c r="I2" s="30">
        <v>0.5</v>
      </c>
    </row>
    <row r="3" spans="2:13" ht="15">
      <c r="B3" s="31">
        <v>1</v>
      </c>
      <c r="C3" s="32" t="s">
        <v>1</v>
      </c>
      <c r="D3" s="33">
        <v>0</v>
      </c>
      <c r="E3" s="33">
        <v>0.1</v>
      </c>
      <c r="F3" s="33">
        <v>0.2</v>
      </c>
      <c r="G3" s="33">
        <v>0.3</v>
      </c>
      <c r="H3" s="33">
        <v>0.4</v>
      </c>
      <c r="I3" s="123">
        <v>0.5</v>
      </c>
      <c r="J3" s="122"/>
      <c r="L3" s="122"/>
      <c r="M3" s="122"/>
    </row>
    <row r="4" spans="2:13" ht="15">
      <c r="B4" s="34">
        <v>2</v>
      </c>
      <c r="C4" s="35" t="s">
        <v>134</v>
      </c>
      <c r="D4" s="36">
        <v>120000</v>
      </c>
      <c r="E4" s="36">
        <v>120000</v>
      </c>
      <c r="F4" s="36">
        <v>120000</v>
      </c>
      <c r="G4" s="36">
        <v>120000</v>
      </c>
      <c r="H4" s="36">
        <v>120000</v>
      </c>
      <c r="I4" s="49">
        <v>120000</v>
      </c>
      <c r="J4" s="122"/>
      <c r="L4" s="122"/>
      <c r="M4" s="122"/>
    </row>
    <row r="5" spans="2:13" ht="15">
      <c r="B5" s="34">
        <v>3</v>
      </c>
      <c r="C5" s="35" t="s">
        <v>3</v>
      </c>
      <c r="D5" s="36">
        <f aca="true" t="shared" si="0" ref="D5:I5">D11*D17</f>
        <v>0</v>
      </c>
      <c r="E5" s="36">
        <f t="shared" si="0"/>
        <v>4125</v>
      </c>
      <c r="F5" s="36">
        <f t="shared" si="0"/>
        <v>8750</v>
      </c>
      <c r="G5" s="36">
        <f t="shared" si="0"/>
        <v>14625</v>
      </c>
      <c r="H5" s="36">
        <f t="shared" si="0"/>
        <v>22000</v>
      </c>
      <c r="I5" s="49">
        <f t="shared" si="0"/>
        <v>31250</v>
      </c>
      <c r="J5" s="122"/>
      <c r="L5" s="122"/>
      <c r="M5" s="122"/>
    </row>
    <row r="6" spans="2:13" ht="15">
      <c r="B6" s="34">
        <v>4</v>
      </c>
      <c r="C6" s="35" t="s">
        <v>135</v>
      </c>
      <c r="D6" s="36">
        <f aca="true" t="shared" si="1" ref="D6:I6">D4-D5</f>
        <v>120000</v>
      </c>
      <c r="E6" s="36">
        <f t="shared" si="1"/>
        <v>115875</v>
      </c>
      <c r="F6" s="36">
        <f t="shared" si="1"/>
        <v>111250</v>
      </c>
      <c r="G6" s="36">
        <f t="shared" si="1"/>
        <v>105375</v>
      </c>
      <c r="H6" s="36">
        <f t="shared" si="1"/>
        <v>98000</v>
      </c>
      <c r="I6" s="49">
        <f t="shared" si="1"/>
        <v>88750</v>
      </c>
      <c r="J6" s="122"/>
      <c r="L6" s="122"/>
      <c r="M6" s="122"/>
    </row>
    <row r="7" spans="2:13" ht="15">
      <c r="B7" s="34">
        <v>5</v>
      </c>
      <c r="C7" s="35" t="s">
        <v>5</v>
      </c>
      <c r="D7" s="36">
        <f aca="true" t="shared" si="2" ref="D7:I7">D6*0.5</f>
        <v>60000</v>
      </c>
      <c r="E7" s="36">
        <f t="shared" si="2"/>
        <v>57937.5</v>
      </c>
      <c r="F7" s="36">
        <f t="shared" si="2"/>
        <v>55625</v>
      </c>
      <c r="G7" s="36">
        <f t="shared" si="2"/>
        <v>52687.5</v>
      </c>
      <c r="H7" s="36">
        <f t="shared" si="2"/>
        <v>49000</v>
      </c>
      <c r="I7" s="49">
        <f t="shared" si="2"/>
        <v>44375</v>
      </c>
      <c r="J7" s="122"/>
      <c r="L7" s="122"/>
      <c r="M7" s="122"/>
    </row>
    <row r="8" spans="2:13" ht="15">
      <c r="B8" s="34">
        <v>6</v>
      </c>
      <c r="C8" s="35" t="s">
        <v>136</v>
      </c>
      <c r="D8" s="36">
        <f aca="true" t="shared" si="3" ref="D8:I8">D6-D7</f>
        <v>60000</v>
      </c>
      <c r="E8" s="36">
        <f t="shared" si="3"/>
        <v>57937.5</v>
      </c>
      <c r="F8" s="36">
        <f t="shared" si="3"/>
        <v>55625</v>
      </c>
      <c r="G8" s="36">
        <f t="shared" si="3"/>
        <v>52687.5</v>
      </c>
      <c r="H8" s="36">
        <f t="shared" si="3"/>
        <v>49000</v>
      </c>
      <c r="I8" s="49">
        <f t="shared" si="3"/>
        <v>44375</v>
      </c>
      <c r="J8" s="122"/>
      <c r="L8" s="122"/>
      <c r="M8" s="122"/>
    </row>
    <row r="9" spans="2:13" ht="15">
      <c r="B9" s="34">
        <v>7</v>
      </c>
      <c r="C9" s="35" t="s">
        <v>7</v>
      </c>
      <c r="D9" s="36">
        <f aca="true" t="shared" si="4" ref="D9:I9">D8</f>
        <v>60000</v>
      </c>
      <c r="E9" s="36">
        <f t="shared" si="4"/>
        <v>57937.5</v>
      </c>
      <c r="F9" s="36">
        <f t="shared" si="4"/>
        <v>55625</v>
      </c>
      <c r="G9" s="36">
        <f t="shared" si="4"/>
        <v>52687.5</v>
      </c>
      <c r="H9" s="36">
        <f t="shared" si="4"/>
        <v>49000</v>
      </c>
      <c r="I9" s="49">
        <f t="shared" si="4"/>
        <v>44375</v>
      </c>
      <c r="J9" s="122"/>
      <c r="L9" s="122"/>
      <c r="M9" s="122"/>
    </row>
    <row r="10" spans="2:13" ht="15.75" thickBot="1">
      <c r="B10" s="37">
        <v>8</v>
      </c>
      <c r="C10" s="38" t="s">
        <v>137</v>
      </c>
      <c r="D10" s="39">
        <f aca="true" t="shared" si="5" ref="D10:I10">D9+D5</f>
        <v>60000</v>
      </c>
      <c r="E10" s="39">
        <f t="shared" si="5"/>
        <v>62062.5</v>
      </c>
      <c r="F10" s="39">
        <f t="shared" si="5"/>
        <v>64375</v>
      </c>
      <c r="G10" s="39">
        <f t="shared" si="5"/>
        <v>67312.5</v>
      </c>
      <c r="H10" s="39">
        <f t="shared" si="5"/>
        <v>71000</v>
      </c>
      <c r="I10" s="140">
        <f t="shared" si="5"/>
        <v>75625</v>
      </c>
      <c r="J10" s="122"/>
      <c r="L10" s="122"/>
      <c r="M10" s="122"/>
    </row>
    <row r="11" spans="2:13" ht="15">
      <c r="B11" s="34">
        <v>9</v>
      </c>
      <c r="C11" s="40" t="s">
        <v>46</v>
      </c>
      <c r="D11" s="41">
        <v>0.08</v>
      </c>
      <c r="E11" s="41">
        <v>0.0825</v>
      </c>
      <c r="F11" s="41">
        <v>0.0875</v>
      </c>
      <c r="G11" s="41">
        <v>0.0975</v>
      </c>
      <c r="H11" s="41">
        <v>0.11</v>
      </c>
      <c r="I11" s="141">
        <v>0.125</v>
      </c>
      <c r="J11" s="122"/>
      <c r="L11" s="122"/>
      <c r="M11" s="122"/>
    </row>
    <row r="12" spans="2:13" ht="15">
      <c r="B12" s="34" t="s">
        <v>47</v>
      </c>
      <c r="C12" s="40" t="s">
        <v>48</v>
      </c>
      <c r="D12" s="41">
        <f aca="true" t="shared" si="6" ref="D12:I12">0.08+D14*0.5*(D40-0.08)/(D15+D14*0.5)</f>
        <v>0.08</v>
      </c>
      <c r="E12" s="41">
        <f t="shared" si="6"/>
        <v>0.0821545946344787</v>
      </c>
      <c r="F12" s="41">
        <f t="shared" si="6"/>
        <v>0.0848082857533745</v>
      </c>
      <c r="G12" s="41">
        <f t="shared" si="6"/>
        <v>0.08859674441668447</v>
      </c>
      <c r="H12" s="41">
        <f t="shared" si="6"/>
        <v>0.0941439222648916</v>
      </c>
      <c r="I12" s="141">
        <f t="shared" si="6"/>
        <v>0.10268238374806682</v>
      </c>
      <c r="J12" s="122"/>
      <c r="L12" s="122"/>
      <c r="M12" s="122"/>
    </row>
    <row r="13" spans="2:13" ht="15.75" thickBot="1">
      <c r="B13" s="37">
        <v>10</v>
      </c>
      <c r="C13" s="42" t="s">
        <v>10</v>
      </c>
      <c r="D13" s="43">
        <f aca="true" t="shared" si="7" ref="D13:I13">0.12+D14/D15*(0.12-0.08)</f>
        <v>0.12</v>
      </c>
      <c r="E13" s="43">
        <f t="shared" si="7"/>
        <v>0.12430918926895741</v>
      </c>
      <c r="F13" s="43">
        <f t="shared" si="7"/>
        <v>0.129616571506749</v>
      </c>
      <c r="G13" s="43">
        <f t="shared" si="7"/>
        <v>0.13719348883336893</v>
      </c>
      <c r="H13" s="43">
        <f t="shared" si="7"/>
        <v>0.1482878445297832</v>
      </c>
      <c r="I13" s="142">
        <f t="shared" si="7"/>
        <v>0.1653647674961336</v>
      </c>
      <c r="J13" s="122"/>
      <c r="L13" s="122"/>
      <c r="M13" s="122"/>
    </row>
    <row r="14" spans="2:13" ht="15">
      <c r="B14" s="34">
        <v>11</v>
      </c>
      <c r="C14" s="44" t="s">
        <v>49</v>
      </c>
      <c r="D14" s="36">
        <f aca="true" t="shared" si="8" ref="D14:I14">D5/D12</f>
        <v>0</v>
      </c>
      <c r="E14" s="36">
        <f t="shared" si="8"/>
        <v>50210.216706112464</v>
      </c>
      <c r="F14" s="36">
        <f t="shared" si="8"/>
        <v>103173.88121067923</v>
      </c>
      <c r="G14" s="36">
        <f t="shared" si="8"/>
        <v>165073.78568242097</v>
      </c>
      <c r="H14" s="36">
        <f t="shared" si="8"/>
        <v>233684.7612753893</v>
      </c>
      <c r="I14" s="49">
        <f t="shared" si="8"/>
        <v>304336.5264744191</v>
      </c>
      <c r="J14" s="122"/>
      <c r="L14" s="122"/>
      <c r="M14" s="122"/>
    </row>
    <row r="15" spans="2:13" ht="15">
      <c r="B15" s="34">
        <v>12</v>
      </c>
      <c r="C15" s="44" t="s">
        <v>50</v>
      </c>
      <c r="D15" s="45">
        <f aca="true" t="shared" si="9" ref="D15:I15">D9/D13</f>
        <v>500000</v>
      </c>
      <c r="E15" s="45">
        <f t="shared" si="9"/>
        <v>466075.7610979625</v>
      </c>
      <c r="F15" s="45">
        <f t="shared" si="9"/>
        <v>429150.37292977364</v>
      </c>
      <c r="G15" s="45">
        <f t="shared" si="9"/>
        <v>384037.9047725264</v>
      </c>
      <c r="H15" s="45">
        <f t="shared" si="9"/>
        <v>330438.4129082036</v>
      </c>
      <c r="I15" s="143">
        <f t="shared" si="9"/>
        <v>268346.1578418603</v>
      </c>
      <c r="J15" s="122"/>
      <c r="L15" s="122"/>
      <c r="M15" s="122"/>
    </row>
    <row r="16" spans="2:13" ht="15.75" thickBot="1">
      <c r="B16" s="37">
        <v>13</v>
      </c>
      <c r="C16" s="46" t="s">
        <v>13</v>
      </c>
      <c r="D16" s="39">
        <f aca="true" t="shared" si="10" ref="D16:I16">D14+D15</f>
        <v>500000</v>
      </c>
      <c r="E16" s="39">
        <f t="shared" si="10"/>
        <v>516285.977804075</v>
      </c>
      <c r="F16" s="39">
        <f t="shared" si="10"/>
        <v>532324.2541404528</v>
      </c>
      <c r="G16" s="39">
        <f t="shared" si="10"/>
        <v>549111.6904549474</v>
      </c>
      <c r="H16" s="39">
        <f t="shared" si="10"/>
        <v>564123.1741835929</v>
      </c>
      <c r="I16" s="140">
        <f t="shared" si="10"/>
        <v>572682.6843162794</v>
      </c>
      <c r="J16" s="122"/>
      <c r="L16" s="122"/>
      <c r="M16" s="122"/>
    </row>
    <row r="17" spans="2:13" ht="15">
      <c r="B17" s="34">
        <v>14</v>
      </c>
      <c r="C17" s="44" t="s">
        <v>138</v>
      </c>
      <c r="D17" s="35">
        <v>0</v>
      </c>
      <c r="E17" s="36">
        <v>50000</v>
      </c>
      <c r="F17" s="36">
        <v>100000</v>
      </c>
      <c r="G17" s="36">
        <v>150000</v>
      </c>
      <c r="H17" s="36">
        <v>200000</v>
      </c>
      <c r="I17" s="49">
        <v>250000</v>
      </c>
      <c r="J17" s="122"/>
      <c r="L17" s="122"/>
      <c r="M17" s="122"/>
    </row>
    <row r="18" spans="2:13" ht="15">
      <c r="B18" s="34">
        <v>15</v>
      </c>
      <c r="C18" s="44" t="s">
        <v>139</v>
      </c>
      <c r="D18" s="45">
        <v>500000</v>
      </c>
      <c r="E18" s="45">
        <v>450000</v>
      </c>
      <c r="F18" s="45">
        <v>400000</v>
      </c>
      <c r="G18" s="45">
        <v>350000</v>
      </c>
      <c r="H18" s="45">
        <v>300000</v>
      </c>
      <c r="I18" s="143">
        <v>250000</v>
      </c>
      <c r="J18" s="122"/>
      <c r="L18" s="122"/>
      <c r="M18" s="122"/>
    </row>
    <row r="19" spans="2:13" ht="15.75" thickBot="1">
      <c r="B19" s="37">
        <v>16</v>
      </c>
      <c r="C19" s="46" t="s">
        <v>140</v>
      </c>
      <c r="D19" s="39">
        <v>500000</v>
      </c>
      <c r="E19" s="39">
        <v>500000</v>
      </c>
      <c r="F19" s="39">
        <v>500000</v>
      </c>
      <c r="G19" s="39">
        <v>500000</v>
      </c>
      <c r="H19" s="39">
        <v>500000</v>
      </c>
      <c r="I19" s="140">
        <v>500000</v>
      </c>
      <c r="J19" s="122"/>
      <c r="L19" s="122"/>
      <c r="M19" s="122"/>
    </row>
    <row r="20" spans="2:13" ht="15">
      <c r="B20" s="34">
        <v>17</v>
      </c>
      <c r="C20" s="44" t="s">
        <v>141</v>
      </c>
      <c r="D20" s="47">
        <v>0.12</v>
      </c>
      <c r="E20" s="47">
        <v>0.12</v>
      </c>
      <c r="F20" s="47">
        <v>0.12</v>
      </c>
      <c r="G20" s="47">
        <v>0.12</v>
      </c>
      <c r="H20" s="47">
        <v>0.12</v>
      </c>
      <c r="I20" s="144">
        <v>0.12</v>
      </c>
      <c r="J20" s="122"/>
      <c r="L20" s="122"/>
      <c r="M20" s="122"/>
    </row>
    <row r="21" spans="2:13" ht="15.75" thickBot="1">
      <c r="B21" s="37">
        <v>18</v>
      </c>
      <c r="C21" s="46" t="s">
        <v>92</v>
      </c>
      <c r="D21" s="48">
        <f aca="true" t="shared" si="11" ref="D21:I21">D8/D18</f>
        <v>0.12</v>
      </c>
      <c r="E21" s="48">
        <f t="shared" si="11"/>
        <v>0.12875</v>
      </c>
      <c r="F21" s="48">
        <f t="shared" si="11"/>
        <v>0.1390625</v>
      </c>
      <c r="G21" s="48">
        <f t="shared" si="11"/>
        <v>0.15053571428571427</v>
      </c>
      <c r="H21" s="48">
        <f t="shared" si="11"/>
        <v>0.16333333333333333</v>
      </c>
      <c r="I21" s="145">
        <f t="shared" si="11"/>
        <v>0.1775</v>
      </c>
      <c r="J21" s="122"/>
      <c r="L21" s="122"/>
      <c r="M21" s="122"/>
    </row>
    <row r="22" spans="2:13" ht="25.5" customHeight="1">
      <c r="B22" s="34">
        <v>19</v>
      </c>
      <c r="C22" s="44" t="s">
        <v>19</v>
      </c>
      <c r="D22" s="36">
        <v>5000</v>
      </c>
      <c r="E22" s="36">
        <f>5000/(1+E17/E15)</f>
        <v>4515.575001104257</v>
      </c>
      <c r="F22" s="36">
        <f>5000/(1+F17/F15)</f>
        <v>4055.089015185561</v>
      </c>
      <c r="G22" s="36">
        <f>5000/(1+G17/G15)</f>
        <v>3595.6053057330028</v>
      </c>
      <c r="H22" s="36">
        <f>5000/(1+H17/H15)</f>
        <v>3114.7670009090057</v>
      </c>
      <c r="I22" s="49">
        <f>5000/(1+I17/I15)</f>
        <v>2588.484102584288</v>
      </c>
      <c r="J22" s="122"/>
      <c r="L22" s="122"/>
      <c r="M22" s="122"/>
    </row>
    <row r="23" spans="2:13" ht="15.75" thickBot="1">
      <c r="B23" s="37">
        <v>20</v>
      </c>
      <c r="C23" s="46" t="s">
        <v>20</v>
      </c>
      <c r="D23" s="38">
        <f aca="true" t="shared" si="12" ref="D23:I23">D15/D22</f>
        <v>100</v>
      </c>
      <c r="E23" s="38">
        <f t="shared" si="12"/>
        <v>103.2151522195925</v>
      </c>
      <c r="F23" s="38">
        <f t="shared" si="12"/>
        <v>105.83007458595473</v>
      </c>
      <c r="G23" s="50">
        <f t="shared" si="12"/>
        <v>106.80758095450528</v>
      </c>
      <c r="H23" s="38">
        <f t="shared" si="12"/>
        <v>106.08768258164072</v>
      </c>
      <c r="I23" s="146">
        <f t="shared" si="12"/>
        <v>103.66923156837207</v>
      </c>
      <c r="J23" s="122"/>
      <c r="L23" s="122"/>
      <c r="M23" s="122"/>
    </row>
    <row r="24" spans="2:13" ht="15">
      <c r="B24" s="34">
        <v>21</v>
      </c>
      <c r="C24" s="44" t="s">
        <v>21</v>
      </c>
      <c r="D24" s="35">
        <f aca="true" t="shared" si="13" ref="D24:I24">D8/D22</f>
        <v>12</v>
      </c>
      <c r="E24" s="51">
        <f t="shared" si="13"/>
        <v>12.830591892689574</v>
      </c>
      <c r="F24" s="51">
        <f t="shared" si="13"/>
        <v>13.71733143013498</v>
      </c>
      <c r="G24" s="51">
        <f t="shared" si="13"/>
        <v>14.653304665001068</v>
      </c>
      <c r="H24" s="51">
        <f t="shared" si="13"/>
        <v>15.731513781191326</v>
      </c>
      <c r="I24" s="147">
        <f t="shared" si="13"/>
        <v>17.143238374806682</v>
      </c>
      <c r="J24" s="122"/>
      <c r="L24" s="122"/>
      <c r="M24" s="122"/>
    </row>
    <row r="25" spans="2:13" ht="15">
      <c r="B25" s="34">
        <v>22</v>
      </c>
      <c r="C25" s="44" t="s">
        <v>129</v>
      </c>
      <c r="D25" s="52">
        <f aca="true" t="shared" si="14" ref="D25:I25">D23/D24</f>
        <v>8.333333333333334</v>
      </c>
      <c r="E25" s="52">
        <f t="shared" si="14"/>
        <v>8.044457580978856</v>
      </c>
      <c r="F25" s="52">
        <f t="shared" si="14"/>
        <v>7.715062884130762</v>
      </c>
      <c r="G25" s="52">
        <f t="shared" si="14"/>
        <v>7.288975654045578</v>
      </c>
      <c r="H25" s="52">
        <f t="shared" si="14"/>
        <v>6.743641079759258</v>
      </c>
      <c r="I25" s="148">
        <f t="shared" si="14"/>
        <v>6.04723735981657</v>
      </c>
      <c r="J25" s="122"/>
      <c r="L25" s="122"/>
      <c r="M25" s="122"/>
    </row>
    <row r="26" spans="2:13" ht="15">
      <c r="B26" s="34">
        <v>23</v>
      </c>
      <c r="C26" s="44" t="s">
        <v>130</v>
      </c>
      <c r="D26" s="53">
        <v>0</v>
      </c>
      <c r="E26" s="53">
        <v>0.1</v>
      </c>
      <c r="F26" s="53">
        <v>0.2</v>
      </c>
      <c r="G26" s="53">
        <v>0.3</v>
      </c>
      <c r="H26" s="53">
        <v>0.4</v>
      </c>
      <c r="I26" s="149">
        <v>0.5</v>
      </c>
      <c r="J26" s="122"/>
      <c r="L26" s="122"/>
      <c r="M26" s="122"/>
    </row>
    <row r="27" spans="2:13" ht="15.75" thickBot="1">
      <c r="B27" s="37">
        <v>24</v>
      </c>
      <c r="C27" s="46" t="s">
        <v>93</v>
      </c>
      <c r="D27" s="48">
        <f aca="true" t="shared" si="15" ref="D27:I27">D14/D16</f>
        <v>0</v>
      </c>
      <c r="E27" s="48">
        <f t="shared" si="15"/>
        <v>0.09725272206630935</v>
      </c>
      <c r="F27" s="48">
        <f t="shared" si="15"/>
        <v>0.19381773497672902</v>
      </c>
      <c r="G27" s="48">
        <f t="shared" si="15"/>
        <v>0.30061968913037496</v>
      </c>
      <c r="H27" s="48">
        <f t="shared" si="15"/>
        <v>0.41424421468517264</v>
      </c>
      <c r="I27" s="145">
        <f t="shared" si="15"/>
        <v>0.53142260942945</v>
      </c>
      <c r="J27" s="122"/>
      <c r="L27" s="122"/>
      <c r="M27" s="122"/>
    </row>
    <row r="28" spans="2:13" ht="15.75" thickBot="1">
      <c r="B28" s="54">
        <v>25</v>
      </c>
      <c r="C28" s="55" t="s">
        <v>25</v>
      </c>
      <c r="D28" s="56">
        <f aca="true" t="shared" si="16" ref="D28:I28">(D15*D13+D12*0.5*D14)/(D16)</f>
        <v>0.12</v>
      </c>
      <c r="E28" s="56">
        <f t="shared" si="16"/>
        <v>0.11621466121392388</v>
      </c>
      <c r="F28" s="56">
        <f t="shared" si="16"/>
        <v>0.1127132561278508</v>
      </c>
      <c r="G28" s="56">
        <f t="shared" si="16"/>
        <v>0.10926738775182347</v>
      </c>
      <c r="H28" s="56">
        <f t="shared" si="16"/>
        <v>0.10635975039818717</v>
      </c>
      <c r="I28" s="150">
        <f t="shared" si="16"/>
        <v>0.10477006140256091</v>
      </c>
      <c r="J28" s="122"/>
      <c r="L28" s="122"/>
      <c r="M28" s="122"/>
    </row>
    <row r="29" spans="2:9" ht="15">
      <c r="B29" s="57">
        <v>26</v>
      </c>
      <c r="C29" s="44" t="s">
        <v>126</v>
      </c>
      <c r="D29" s="58">
        <f aca="true" t="shared" si="17" ref="D29:I29">D4*0.5</f>
        <v>60000</v>
      </c>
      <c r="E29" s="58">
        <f t="shared" si="17"/>
        <v>60000</v>
      </c>
      <c r="F29" s="58">
        <f t="shared" si="17"/>
        <v>60000</v>
      </c>
      <c r="G29" s="58">
        <f t="shared" si="17"/>
        <v>60000</v>
      </c>
      <c r="H29" s="58">
        <f t="shared" si="17"/>
        <v>60000</v>
      </c>
      <c r="I29" s="84">
        <f t="shared" si="17"/>
        <v>60000</v>
      </c>
    </row>
    <row r="30" spans="2:9" ht="15.75" thickBot="1">
      <c r="B30" s="59">
        <v>27</v>
      </c>
      <c r="C30" s="46" t="s">
        <v>128</v>
      </c>
      <c r="D30" s="60">
        <f aca="true" t="shared" si="18" ref="D30:I30">D29/D28</f>
        <v>500000</v>
      </c>
      <c r="E30" s="60">
        <f t="shared" si="18"/>
        <v>516285.977804075</v>
      </c>
      <c r="F30" s="60">
        <f t="shared" si="18"/>
        <v>532324.2541404528</v>
      </c>
      <c r="G30" s="60">
        <f t="shared" si="18"/>
        <v>549111.6904549474</v>
      </c>
      <c r="H30" s="60">
        <f t="shared" si="18"/>
        <v>564123.1741835929</v>
      </c>
      <c r="I30" s="61">
        <f t="shared" si="18"/>
        <v>572682.6843162794</v>
      </c>
    </row>
    <row r="31" spans="2:9" ht="15">
      <c r="B31" s="57"/>
      <c r="C31" s="62"/>
      <c r="D31" s="44"/>
      <c r="E31" s="44"/>
      <c r="F31" s="44"/>
      <c r="G31" s="44"/>
      <c r="H31" s="44"/>
      <c r="I31" s="63"/>
    </row>
    <row r="32" spans="2:9" ht="15">
      <c r="B32" s="57"/>
      <c r="C32" s="62"/>
      <c r="D32" s="44"/>
      <c r="E32" s="44"/>
      <c r="F32" s="44"/>
      <c r="G32" s="44"/>
      <c r="H32" s="44"/>
      <c r="I32" s="63"/>
    </row>
    <row r="33" spans="2:13" ht="15">
      <c r="B33" s="64"/>
      <c r="C33" s="65" t="s">
        <v>127</v>
      </c>
      <c r="D33" s="65">
        <v>0</v>
      </c>
      <c r="E33" s="66">
        <f>D33+50000</f>
        <v>50000</v>
      </c>
      <c r="F33" s="66">
        <f>E33+50000</f>
        <v>100000</v>
      </c>
      <c r="G33" s="66">
        <f>F33+50000</f>
        <v>150000</v>
      </c>
      <c r="H33" s="66">
        <f>G33+50000</f>
        <v>200000</v>
      </c>
      <c r="I33" s="66">
        <f>H33+50000</f>
        <v>250000</v>
      </c>
      <c r="J33" s="151"/>
      <c r="L33" s="151"/>
      <c r="M33" s="151"/>
    </row>
    <row r="34" spans="2:13" ht="15">
      <c r="B34" s="67">
        <v>5</v>
      </c>
      <c r="C34" s="68" t="s">
        <v>73</v>
      </c>
      <c r="D34" s="69">
        <f aca="true" t="shared" si="19" ref="D34:I34">D7</f>
        <v>60000</v>
      </c>
      <c r="E34" s="69">
        <f t="shared" si="19"/>
        <v>57937.5</v>
      </c>
      <c r="F34" s="69">
        <f t="shared" si="19"/>
        <v>55625</v>
      </c>
      <c r="G34" s="69">
        <f t="shared" si="19"/>
        <v>52687.5</v>
      </c>
      <c r="H34" s="69">
        <f t="shared" si="19"/>
        <v>49000</v>
      </c>
      <c r="I34" s="70">
        <f t="shared" si="19"/>
        <v>44375</v>
      </c>
      <c r="J34" s="152"/>
      <c r="L34" s="152"/>
      <c r="M34" s="152"/>
    </row>
    <row r="35" spans="2:13" ht="15">
      <c r="B35" s="34">
        <v>3</v>
      </c>
      <c r="C35" s="35" t="s">
        <v>131</v>
      </c>
      <c r="D35" s="36">
        <f aca="true" t="shared" si="20" ref="D35:I35">D5</f>
        <v>0</v>
      </c>
      <c r="E35" s="36">
        <f t="shared" si="20"/>
        <v>4125</v>
      </c>
      <c r="F35" s="36">
        <f t="shared" si="20"/>
        <v>8750</v>
      </c>
      <c r="G35" s="36">
        <f t="shared" si="20"/>
        <v>14625</v>
      </c>
      <c r="H35" s="36">
        <f t="shared" si="20"/>
        <v>22000</v>
      </c>
      <c r="I35" s="49">
        <f t="shared" si="20"/>
        <v>31250</v>
      </c>
      <c r="J35" s="152"/>
      <c r="L35" s="152"/>
      <c r="M35" s="152"/>
    </row>
    <row r="36" spans="2:13" ht="15.75" thickBot="1">
      <c r="B36" s="34">
        <v>7</v>
      </c>
      <c r="C36" s="35" t="s">
        <v>132</v>
      </c>
      <c r="D36" s="36">
        <f aca="true" t="shared" si="21" ref="D36:I36">D9</f>
        <v>60000</v>
      </c>
      <c r="E36" s="36">
        <f t="shared" si="21"/>
        <v>57937.5</v>
      </c>
      <c r="F36" s="36">
        <f t="shared" si="21"/>
        <v>55625</v>
      </c>
      <c r="G36" s="36">
        <f t="shared" si="21"/>
        <v>52687.5</v>
      </c>
      <c r="H36" s="36">
        <f t="shared" si="21"/>
        <v>49000</v>
      </c>
      <c r="I36" s="49">
        <f t="shared" si="21"/>
        <v>44375</v>
      </c>
      <c r="J36" s="152"/>
      <c r="L36" s="152"/>
      <c r="M36" s="152"/>
    </row>
    <row r="37" spans="2:13" ht="15.75" thickBot="1">
      <c r="B37" s="71">
        <v>2</v>
      </c>
      <c r="C37" s="72" t="s">
        <v>133</v>
      </c>
      <c r="D37" s="73">
        <f aca="true" t="shared" si="22" ref="D37:I37">SUM(D34:D36)</f>
        <v>120000</v>
      </c>
      <c r="E37" s="73">
        <f t="shared" si="22"/>
        <v>120000</v>
      </c>
      <c r="F37" s="73">
        <f t="shared" si="22"/>
        <v>120000</v>
      </c>
      <c r="G37" s="73">
        <f t="shared" si="22"/>
        <v>120000</v>
      </c>
      <c r="H37" s="73">
        <f t="shared" si="22"/>
        <v>120000</v>
      </c>
      <c r="I37" s="74">
        <f t="shared" si="22"/>
        <v>120000</v>
      </c>
      <c r="J37" s="152"/>
      <c r="L37" s="152"/>
      <c r="M37" s="152"/>
    </row>
    <row r="38" spans="2:9" ht="15.75" thickBot="1">
      <c r="B38" s="34">
        <v>28</v>
      </c>
      <c r="C38" s="44" t="s">
        <v>51</v>
      </c>
      <c r="D38" s="36">
        <f aca="true" t="shared" si="23" ref="D38:I38">D7/D13</f>
        <v>500000</v>
      </c>
      <c r="E38" s="36">
        <f t="shared" si="23"/>
        <v>466075.7610979625</v>
      </c>
      <c r="F38" s="36">
        <f t="shared" si="23"/>
        <v>429150.37292977364</v>
      </c>
      <c r="G38" s="36">
        <f t="shared" si="23"/>
        <v>384037.9047725264</v>
      </c>
      <c r="H38" s="36">
        <f t="shared" si="23"/>
        <v>330438.4129082036</v>
      </c>
      <c r="I38" s="49">
        <f t="shared" si="23"/>
        <v>268346.1578418603</v>
      </c>
    </row>
    <row r="39" spans="2:9" ht="15.75" thickBot="1">
      <c r="B39" s="54">
        <v>29</v>
      </c>
      <c r="C39" s="55" t="s">
        <v>52</v>
      </c>
      <c r="D39" s="75">
        <f aca="true" t="shared" si="24" ref="D39:I39">D38+D14+D15</f>
        <v>1000000</v>
      </c>
      <c r="E39" s="75">
        <f t="shared" si="24"/>
        <v>982361.7389020375</v>
      </c>
      <c r="F39" s="75">
        <f t="shared" si="24"/>
        <v>961474.6270702265</v>
      </c>
      <c r="G39" s="75">
        <f t="shared" si="24"/>
        <v>933149.5952274739</v>
      </c>
      <c r="H39" s="75">
        <f t="shared" si="24"/>
        <v>894561.5870917966</v>
      </c>
      <c r="I39" s="76">
        <f t="shared" si="24"/>
        <v>841028.8421581397</v>
      </c>
    </row>
    <row r="40" spans="2:9" ht="15">
      <c r="B40" s="34">
        <v>30</v>
      </c>
      <c r="C40" s="77" t="s">
        <v>54</v>
      </c>
      <c r="D40" s="78">
        <f aca="true" t="shared" si="25" ref="D40:I40">D82/D39</f>
        <v>0.12</v>
      </c>
      <c r="E40" s="78">
        <f t="shared" si="25"/>
        <v>0.12215459463447871</v>
      </c>
      <c r="F40" s="78">
        <f t="shared" si="25"/>
        <v>0.12480828575337449</v>
      </c>
      <c r="G40" s="78">
        <f t="shared" si="25"/>
        <v>0.12859674441668445</v>
      </c>
      <c r="H40" s="78">
        <f t="shared" si="25"/>
        <v>0.13414392226489158</v>
      </c>
      <c r="I40" s="79">
        <f t="shared" si="25"/>
        <v>0.14268238374806683</v>
      </c>
    </row>
    <row r="41" spans="2:13" ht="15">
      <c r="B41" s="31">
        <v>31</v>
      </c>
      <c r="C41" s="80" t="s">
        <v>96</v>
      </c>
      <c r="D41" s="81"/>
      <c r="E41" s="82">
        <f>E40-D40</f>
        <v>0.0021545946344787154</v>
      </c>
      <c r="F41" s="82">
        <f>F40-E40</f>
        <v>0.002653691118895782</v>
      </c>
      <c r="G41" s="82">
        <f>G40-F40</f>
        <v>0.003788458663309957</v>
      </c>
      <c r="H41" s="82">
        <f>H40-G40</f>
        <v>0.00554717784820713</v>
      </c>
      <c r="I41" s="83">
        <f>I40-H40</f>
        <v>0.008538461483175247</v>
      </c>
      <c r="J41" s="153"/>
      <c r="K41" s="153"/>
      <c r="L41" s="153"/>
      <c r="M41" s="153"/>
    </row>
    <row r="42" spans="2:9" ht="15">
      <c r="B42" s="57"/>
      <c r="C42" s="40"/>
      <c r="D42" s="58"/>
      <c r="E42" s="58"/>
      <c r="F42" s="58"/>
      <c r="G42" s="58"/>
      <c r="H42" s="58"/>
      <c r="I42" s="84"/>
    </row>
    <row r="43" spans="2:13" ht="15">
      <c r="B43" s="64"/>
      <c r="C43" s="65" t="s">
        <v>127</v>
      </c>
      <c r="D43" s="65">
        <v>0</v>
      </c>
      <c r="E43" s="66">
        <f>D43+50000</f>
        <v>50000</v>
      </c>
      <c r="F43" s="66">
        <f>E43+50000</f>
        <v>100000</v>
      </c>
      <c r="G43" s="66">
        <f>F43+50000</f>
        <v>150000</v>
      </c>
      <c r="H43" s="66">
        <f>G43+50000</f>
        <v>200000</v>
      </c>
      <c r="I43" s="66">
        <f>H43+50000</f>
        <v>250000</v>
      </c>
      <c r="J43" s="151"/>
      <c r="K43" s="151"/>
      <c r="L43" s="151"/>
      <c r="M43" s="151"/>
    </row>
    <row r="44" spans="2:9" ht="15">
      <c r="B44" s="85">
        <v>32</v>
      </c>
      <c r="C44" s="86" t="s">
        <v>55</v>
      </c>
      <c r="D44" s="87">
        <v>0</v>
      </c>
      <c r="E44" s="87">
        <f>(#REF!-E39)/2</f>
        <v>8819.130548981251</v>
      </c>
      <c r="F44" s="87">
        <f>(#REF!-F39)/2</f>
        <v>19262.686464886763</v>
      </c>
      <c r="G44" s="87">
        <f>(#REF!-G39)/2</f>
        <v>33425.20238626306</v>
      </c>
      <c r="H44" s="87">
        <f>(#REF!-H39)/2</f>
        <v>52719.20645410172</v>
      </c>
      <c r="I44" s="88">
        <f>(#REF!-I39)/2</f>
        <v>79485.57892093016</v>
      </c>
    </row>
    <row r="45" spans="2:9" ht="15">
      <c r="B45" s="57">
        <v>33</v>
      </c>
      <c r="C45" s="89" t="s">
        <v>97</v>
      </c>
      <c r="D45" s="58"/>
      <c r="E45" s="58">
        <f>E44-D44</f>
        <v>8819.130548981251</v>
      </c>
      <c r="F45" s="58">
        <f>F44-E44</f>
        <v>10443.555915905512</v>
      </c>
      <c r="G45" s="58">
        <f>G44-F44</f>
        <v>14162.515921376296</v>
      </c>
      <c r="H45" s="58">
        <f>H44-G44</f>
        <v>19294.004067838658</v>
      </c>
      <c r="I45" s="84">
        <f>I44-H44</f>
        <v>26766.37246682844</v>
      </c>
    </row>
    <row r="46" spans="2:9" ht="15">
      <c r="B46" s="90">
        <v>34</v>
      </c>
      <c r="C46" s="91" t="s">
        <v>98</v>
      </c>
      <c r="D46" s="92"/>
      <c r="E46" s="92">
        <f>(E14-D14)*0.5</f>
        <v>25105.108353056232</v>
      </c>
      <c r="F46" s="92">
        <f>(F14-E14)*0.5</f>
        <v>26481.832252283384</v>
      </c>
      <c r="G46" s="92">
        <f>(G14-F14)*0.5</f>
        <v>30949.95223587087</v>
      </c>
      <c r="H46" s="92">
        <f>(H14-G14)*0.5</f>
        <v>34305.48779648416</v>
      </c>
      <c r="I46" s="93">
        <f>(I14-H14)*0.5</f>
        <v>35325.88259951491</v>
      </c>
    </row>
    <row r="47" spans="3:9" ht="15">
      <c r="C47" s="94"/>
      <c r="D47" s="58"/>
      <c r="E47" s="58"/>
      <c r="F47" s="58"/>
      <c r="G47" s="58"/>
      <c r="H47" s="58"/>
      <c r="I47" s="58"/>
    </row>
    <row r="48" spans="3:9" ht="15">
      <c r="C48" s="40" t="s">
        <v>143</v>
      </c>
      <c r="D48" s="58"/>
      <c r="E48" s="58"/>
      <c r="F48" s="58"/>
      <c r="G48" s="58"/>
      <c r="H48" s="58"/>
      <c r="I48" s="58"/>
    </row>
    <row r="49" spans="2:9" ht="15">
      <c r="B49" s="27">
        <v>30</v>
      </c>
      <c r="C49" s="40" t="s">
        <v>99</v>
      </c>
      <c r="D49" s="58">
        <f aca="true" t="shared" si="26" ref="D49:I49">1000000-D30</f>
        <v>500000</v>
      </c>
      <c r="E49" s="58">
        <f t="shared" si="26"/>
        <v>483714.022195925</v>
      </c>
      <c r="F49" s="58">
        <f t="shared" si="26"/>
        <v>467675.74585954717</v>
      </c>
      <c r="G49" s="58">
        <f t="shared" si="26"/>
        <v>450888.3095450526</v>
      </c>
      <c r="H49" s="58">
        <f t="shared" si="26"/>
        <v>435876.8258164071</v>
      </c>
      <c r="I49" s="58">
        <f t="shared" si="26"/>
        <v>427317.31568372063</v>
      </c>
    </row>
    <row r="50" spans="2:9" ht="15">
      <c r="B50" s="27">
        <v>31</v>
      </c>
      <c r="C50" s="95" t="s">
        <v>142</v>
      </c>
      <c r="D50" s="96">
        <f aca="true" t="shared" si="27" ref="D50:I50">D7/D49</f>
        <v>0.12</v>
      </c>
      <c r="E50" s="96">
        <f t="shared" si="27"/>
        <v>0.11977634995359472</v>
      </c>
      <c r="F50" s="96">
        <f t="shared" si="27"/>
        <v>0.11893924474908595</v>
      </c>
      <c r="G50" s="96">
        <f t="shared" si="27"/>
        <v>0.11685266369660774</v>
      </c>
      <c r="H50" s="96">
        <f t="shared" si="27"/>
        <v>0.11241708000470522</v>
      </c>
      <c r="I50" s="96">
        <f t="shared" si="27"/>
        <v>0.10384554608791983</v>
      </c>
    </row>
    <row r="51" spans="3:9" ht="15">
      <c r="C51" s="29"/>
      <c r="D51" s="29"/>
      <c r="E51" s="29"/>
      <c r="F51" s="29"/>
      <c r="G51" s="29"/>
      <c r="H51" s="29"/>
      <c r="I51" s="29"/>
    </row>
    <row r="52" spans="3:9" ht="15">
      <c r="C52" s="97" t="s">
        <v>144</v>
      </c>
      <c r="D52" s="29"/>
      <c r="E52" s="29"/>
      <c r="F52" s="29"/>
      <c r="G52" s="29"/>
      <c r="H52" s="29"/>
      <c r="I52" s="29"/>
    </row>
    <row r="53" spans="2:9" ht="15">
      <c r="B53" s="27">
        <v>32</v>
      </c>
      <c r="C53" s="29" t="s">
        <v>145</v>
      </c>
      <c r="D53" s="29"/>
      <c r="E53" s="98">
        <f>E11</f>
        <v>0.0825</v>
      </c>
      <c r="F53" s="98">
        <f>E53</f>
        <v>0.0825</v>
      </c>
      <c r="G53" s="98">
        <f>F53</f>
        <v>0.0825</v>
      </c>
      <c r="H53" s="98">
        <f>G53</f>
        <v>0.0825</v>
      </c>
      <c r="I53" s="98">
        <f>H53</f>
        <v>0.0825</v>
      </c>
    </row>
    <row r="54" spans="2:9" ht="15">
      <c r="B54" s="27">
        <v>33</v>
      </c>
      <c r="C54" s="29" t="s">
        <v>146</v>
      </c>
      <c r="D54" s="29"/>
      <c r="E54" s="98"/>
      <c r="F54" s="98">
        <f>(F5-E5)/50000</f>
        <v>0.0925</v>
      </c>
      <c r="G54" s="98">
        <f>F54</f>
        <v>0.0925</v>
      </c>
      <c r="H54" s="98">
        <f>G54</f>
        <v>0.0925</v>
      </c>
      <c r="I54" s="98">
        <f>H54</f>
        <v>0.0925</v>
      </c>
    </row>
    <row r="55" spans="2:9" ht="15">
      <c r="B55" s="27">
        <v>34</v>
      </c>
      <c r="C55" s="29" t="s">
        <v>146</v>
      </c>
      <c r="D55" s="29"/>
      <c r="E55" s="98"/>
      <c r="F55" s="98"/>
      <c r="G55" s="98">
        <f>(G5-F5)/50000</f>
        <v>0.1175</v>
      </c>
      <c r="H55" s="98">
        <f>G55</f>
        <v>0.1175</v>
      </c>
      <c r="I55" s="98">
        <f>H55</f>
        <v>0.1175</v>
      </c>
    </row>
    <row r="56" spans="2:9" ht="15">
      <c r="B56" s="27">
        <v>35</v>
      </c>
      <c r="C56" s="29" t="s">
        <v>146</v>
      </c>
      <c r="D56" s="29"/>
      <c r="E56" s="98"/>
      <c r="F56" s="98"/>
      <c r="G56" s="98"/>
      <c r="H56" s="98">
        <f>(H5-G5)/50000</f>
        <v>0.1475</v>
      </c>
      <c r="I56" s="99">
        <f>H56</f>
        <v>0.1475</v>
      </c>
    </row>
    <row r="57" spans="2:9" ht="15">
      <c r="B57" s="27">
        <v>36</v>
      </c>
      <c r="C57" s="29" t="s">
        <v>146</v>
      </c>
      <c r="E57" s="98"/>
      <c r="F57" s="98"/>
      <c r="G57" s="98"/>
      <c r="H57" s="98"/>
      <c r="I57" s="99">
        <f>(I5-H5)/50000</f>
        <v>0.185</v>
      </c>
    </row>
    <row r="58" spans="2:9" ht="15">
      <c r="B58" s="27">
        <v>37</v>
      </c>
      <c r="C58" s="100" t="s">
        <v>147</v>
      </c>
      <c r="D58" s="101"/>
      <c r="E58" s="96">
        <f>AVERAGE(E53:E57)</f>
        <v>0.0825</v>
      </c>
      <c r="F58" s="96">
        <f>AVERAGE(F53:F57)</f>
        <v>0.0875</v>
      </c>
      <c r="G58" s="96">
        <f>AVERAGE(G53:G57)</f>
        <v>0.09749999999999999</v>
      </c>
      <c r="H58" s="96">
        <f>AVERAGE(H53:H57)</f>
        <v>0.10999999999999999</v>
      </c>
      <c r="I58" s="96">
        <f>AVERAGE(I53:I57)</f>
        <v>0.125</v>
      </c>
    </row>
    <row r="60" spans="3:9" ht="15">
      <c r="C60" s="29" t="s">
        <v>148</v>
      </c>
      <c r="D60" s="29"/>
      <c r="E60" s="29"/>
      <c r="F60" s="29"/>
      <c r="G60" s="29"/>
      <c r="H60" s="29"/>
      <c r="I60" s="29"/>
    </row>
    <row r="61" spans="2:9" ht="15">
      <c r="B61" s="27">
        <v>38</v>
      </c>
      <c r="C61" s="29"/>
      <c r="D61" s="29"/>
      <c r="E61" s="102">
        <f>E17/(#REF!-E22)</f>
        <v>103.21515221959248</v>
      </c>
      <c r="F61" s="102">
        <f>F17/(#REF!-F22)</f>
        <v>105.83007458595472</v>
      </c>
      <c r="G61" s="103">
        <f>G17/(#REF!-G22)</f>
        <v>106.80758095450528</v>
      </c>
      <c r="H61" s="102">
        <f>H17/(#REF!-H22)</f>
        <v>106.08768258164073</v>
      </c>
      <c r="I61" s="102">
        <f>I17/(#REF!-I22)</f>
        <v>103.66923156837206</v>
      </c>
    </row>
    <row r="62" spans="3:9" ht="15">
      <c r="C62" s="29" t="s">
        <v>149</v>
      </c>
      <c r="D62" s="29"/>
      <c r="E62" s="29"/>
      <c r="F62" s="29"/>
      <c r="G62" s="29"/>
      <c r="H62" s="29"/>
      <c r="I62" s="29"/>
    </row>
    <row r="63" spans="2:9" ht="15">
      <c r="B63" s="27">
        <v>39</v>
      </c>
      <c r="C63" s="100"/>
      <c r="D63" s="100"/>
      <c r="E63" s="104">
        <f>50000/(D22-E22)</f>
        <v>103.21515221959248</v>
      </c>
      <c r="F63" s="104">
        <f>50000/(E22-F22)</f>
        <v>108.58093737694773</v>
      </c>
      <c r="G63" s="105">
        <f>50000/(F22-G22)</f>
        <v>108.81778607466062</v>
      </c>
      <c r="H63" s="104">
        <f>50000/(G22-H22)</f>
        <v>103.98506004695628</v>
      </c>
      <c r="I63" s="104">
        <f>50000/(H22-I22)</f>
        <v>95.00593722342444</v>
      </c>
    </row>
    <row r="64" spans="3:9" ht="15">
      <c r="C64" s="29"/>
      <c r="D64" s="29"/>
      <c r="E64" s="29"/>
      <c r="F64" s="29"/>
      <c r="G64" s="29"/>
      <c r="H64" s="29"/>
      <c r="I64" s="29"/>
    </row>
    <row r="65" spans="3:9" ht="15">
      <c r="C65" s="97" t="s">
        <v>150</v>
      </c>
      <c r="D65" s="29"/>
      <c r="E65" s="29"/>
      <c r="F65" s="29"/>
      <c r="G65" s="29"/>
      <c r="H65" s="29"/>
      <c r="I65" s="29"/>
    </row>
    <row r="66" spans="2:9" ht="15">
      <c r="B66" s="27">
        <v>40</v>
      </c>
      <c r="C66" s="29" t="s">
        <v>100</v>
      </c>
      <c r="D66" s="106">
        <f>D30</f>
        <v>500000</v>
      </c>
      <c r="E66" s="106">
        <f>D66</f>
        <v>500000</v>
      </c>
      <c r="F66" s="106">
        <f>E66</f>
        <v>500000</v>
      </c>
      <c r="G66" s="106">
        <f>F66</f>
        <v>500000</v>
      </c>
      <c r="H66" s="106">
        <f>G66</f>
        <v>500000</v>
      </c>
      <c r="I66" s="106">
        <f>H66</f>
        <v>500000</v>
      </c>
    </row>
    <row r="67" spans="2:9" ht="15">
      <c r="B67" s="27">
        <v>41</v>
      </c>
      <c r="C67" s="29" t="s">
        <v>151</v>
      </c>
      <c r="D67" s="107">
        <f aca="true" t="shared" si="28" ref="D67:I67">D30</f>
        <v>500000</v>
      </c>
      <c r="E67" s="107">
        <f t="shared" si="28"/>
        <v>516285.977804075</v>
      </c>
      <c r="F67" s="107">
        <f t="shared" si="28"/>
        <v>532324.2541404528</v>
      </c>
      <c r="G67" s="107">
        <f t="shared" si="28"/>
        <v>549111.6904549474</v>
      </c>
      <c r="H67" s="107">
        <f t="shared" si="28"/>
        <v>564123.1741835929</v>
      </c>
      <c r="I67" s="107">
        <f t="shared" si="28"/>
        <v>572682.6843162794</v>
      </c>
    </row>
    <row r="68" spans="2:9" ht="15">
      <c r="B68" s="27">
        <v>42</v>
      </c>
      <c r="C68" s="29" t="s">
        <v>152</v>
      </c>
      <c r="D68" s="106">
        <f aca="true" t="shared" si="29" ref="D68:I68">D67-D66</f>
        <v>0</v>
      </c>
      <c r="E68" s="106">
        <f t="shared" si="29"/>
        <v>16285.977804074995</v>
      </c>
      <c r="F68" s="106">
        <f t="shared" si="29"/>
        <v>32324.25414045283</v>
      </c>
      <c r="G68" s="106">
        <f t="shared" si="29"/>
        <v>49111.69045494741</v>
      </c>
      <c r="H68" s="106">
        <f t="shared" si="29"/>
        <v>64123.1741835929</v>
      </c>
      <c r="I68" s="106">
        <f t="shared" si="29"/>
        <v>72682.68431627937</v>
      </c>
    </row>
    <row r="69" spans="2:9" ht="15">
      <c r="B69" s="27">
        <v>43</v>
      </c>
      <c r="C69" s="29" t="s">
        <v>153</v>
      </c>
      <c r="D69" s="29">
        <v>0</v>
      </c>
      <c r="E69" s="106">
        <f>E5*0.5</f>
        <v>2062.5</v>
      </c>
      <c r="F69" s="106">
        <f>F5*0.5</f>
        <v>4375</v>
      </c>
      <c r="G69" s="106">
        <f>G5*0.5</f>
        <v>7312.5</v>
      </c>
      <c r="H69" s="106">
        <f>H5*0.5</f>
        <v>11000</v>
      </c>
      <c r="I69" s="106">
        <f>I5*0.5</f>
        <v>15625</v>
      </c>
    </row>
    <row r="70" spans="2:9" ht="15">
      <c r="B70" s="27">
        <v>44</v>
      </c>
      <c r="C70" s="100" t="s">
        <v>101</v>
      </c>
      <c r="D70" s="100"/>
      <c r="E70" s="108">
        <f>E69/E68</f>
        <v>0.12664268764285874</v>
      </c>
      <c r="F70" s="108">
        <f>F69/F68</f>
        <v>0.13534728383801498</v>
      </c>
      <c r="G70" s="108">
        <f>G69/G68</f>
        <v>0.14889530236610607</v>
      </c>
      <c r="H70" s="108">
        <f>H69/H68</f>
        <v>0.17154484537065467</v>
      </c>
      <c r="I70" s="108">
        <f>I69/I68</f>
        <v>0.21497554949962594</v>
      </c>
    </row>
    <row r="71" spans="3:9" ht="15">
      <c r="C71" s="29"/>
      <c r="D71" s="29"/>
      <c r="E71" s="155"/>
      <c r="F71" s="29"/>
      <c r="G71" s="29"/>
      <c r="H71" s="29"/>
      <c r="I71" s="29"/>
    </row>
    <row r="72" spans="2:9" ht="15">
      <c r="B72" s="27">
        <v>45</v>
      </c>
      <c r="C72" s="28" t="s">
        <v>102</v>
      </c>
      <c r="D72" s="29"/>
      <c r="E72" s="29"/>
      <c r="F72" s="29"/>
      <c r="G72" s="29"/>
      <c r="H72" s="29"/>
      <c r="I72" s="29"/>
    </row>
    <row r="73" spans="3:9" ht="15">
      <c r="C73" s="28" t="s">
        <v>103</v>
      </c>
      <c r="D73" s="29"/>
      <c r="E73" s="29"/>
      <c r="F73" s="29"/>
      <c r="G73" s="29"/>
      <c r="H73" s="29"/>
      <c r="I73" s="29"/>
    </row>
    <row r="74" spans="2:9" ht="15">
      <c r="B74" s="27">
        <v>46</v>
      </c>
      <c r="C74" s="95"/>
      <c r="D74" s="108">
        <f aca="true" t="shared" si="30" ref="D74:I74">(D13*D15+D11*D14*0.5)/(D15+D14*0.5)</f>
        <v>0.12</v>
      </c>
      <c r="E74" s="108">
        <f t="shared" si="30"/>
        <v>0.12217224890333658</v>
      </c>
      <c r="F74" s="108">
        <f t="shared" si="30"/>
        <v>0.1250971281191691</v>
      </c>
      <c r="G74" s="108">
        <f t="shared" si="30"/>
        <v>0.13017172672557972</v>
      </c>
      <c r="H74" s="108">
        <f t="shared" si="30"/>
        <v>0.1382859777630924</v>
      </c>
      <c r="I74" s="108">
        <f t="shared" si="30"/>
        <v>0.1507582849167752</v>
      </c>
    </row>
    <row r="76" spans="2:9" ht="15.75" thickBot="1">
      <c r="B76" s="109"/>
      <c r="C76" s="46" t="s">
        <v>104</v>
      </c>
      <c r="D76" s="110"/>
      <c r="E76" s="110">
        <f>E40-D40</f>
        <v>0.0021545946344787154</v>
      </c>
      <c r="F76" s="110">
        <f>F40-E40</f>
        <v>0.002653691118895782</v>
      </c>
      <c r="G76" s="110">
        <f>G40-F40</f>
        <v>0.003788458663309957</v>
      </c>
      <c r="H76" s="111">
        <f>H40-G40</f>
        <v>0.00554717784820713</v>
      </c>
      <c r="I76" s="111">
        <f>I40-H40</f>
        <v>0.008538461483175247</v>
      </c>
    </row>
    <row r="77" spans="2:9" ht="15">
      <c r="B77" s="109"/>
      <c r="C77" s="44"/>
      <c r="D77" s="110"/>
      <c r="E77" s="110"/>
      <c r="F77" s="110"/>
      <c r="G77" s="110"/>
      <c r="H77" s="110"/>
      <c r="I77" s="110"/>
    </row>
    <row r="78" spans="3:9" ht="15">
      <c r="C78" s="28" t="s">
        <v>105</v>
      </c>
      <c r="D78" s="29"/>
      <c r="E78" s="29"/>
      <c r="F78" s="29"/>
      <c r="G78" s="29"/>
      <c r="H78" s="29"/>
      <c r="I78" s="29"/>
    </row>
    <row r="79" spans="2:9" ht="15">
      <c r="B79" s="27">
        <v>47</v>
      </c>
      <c r="C79" s="29" t="s">
        <v>106</v>
      </c>
      <c r="D79" s="106">
        <f aca="true" t="shared" si="31" ref="D79:I79">D7</f>
        <v>60000</v>
      </c>
      <c r="E79" s="106">
        <f t="shared" si="31"/>
        <v>57937.5</v>
      </c>
      <c r="F79" s="106">
        <f t="shared" si="31"/>
        <v>55625</v>
      </c>
      <c r="G79" s="106">
        <f t="shared" si="31"/>
        <v>52687.5</v>
      </c>
      <c r="H79" s="106">
        <f t="shared" si="31"/>
        <v>49000</v>
      </c>
      <c r="I79" s="106">
        <f t="shared" si="31"/>
        <v>44375</v>
      </c>
    </row>
    <row r="80" spans="2:9" ht="15">
      <c r="B80" s="27">
        <v>48</v>
      </c>
      <c r="C80" s="29" t="s">
        <v>107</v>
      </c>
      <c r="D80" s="106">
        <f aca="true" t="shared" si="32" ref="D80:I80">D5</f>
        <v>0</v>
      </c>
      <c r="E80" s="106">
        <f t="shared" si="32"/>
        <v>4125</v>
      </c>
      <c r="F80" s="106">
        <f t="shared" si="32"/>
        <v>8750</v>
      </c>
      <c r="G80" s="106">
        <f t="shared" si="32"/>
        <v>14625</v>
      </c>
      <c r="H80" s="106">
        <f t="shared" si="32"/>
        <v>22000</v>
      </c>
      <c r="I80" s="106">
        <f t="shared" si="32"/>
        <v>31250</v>
      </c>
    </row>
    <row r="81" spans="2:9" ht="15">
      <c r="B81" s="27">
        <v>49</v>
      </c>
      <c r="C81" s="29" t="s">
        <v>108</v>
      </c>
      <c r="D81" s="107">
        <f aca="true" t="shared" si="33" ref="D81:I81">D9</f>
        <v>60000</v>
      </c>
      <c r="E81" s="107">
        <f t="shared" si="33"/>
        <v>57937.5</v>
      </c>
      <c r="F81" s="107">
        <f t="shared" si="33"/>
        <v>55625</v>
      </c>
      <c r="G81" s="107">
        <f t="shared" si="33"/>
        <v>52687.5</v>
      </c>
      <c r="H81" s="107">
        <f t="shared" si="33"/>
        <v>49000</v>
      </c>
      <c r="I81" s="107">
        <f t="shared" si="33"/>
        <v>44375</v>
      </c>
    </row>
    <row r="82" spans="2:9" ht="15.75" thickBot="1">
      <c r="B82" s="112">
        <v>50</v>
      </c>
      <c r="C82" s="46" t="s">
        <v>109</v>
      </c>
      <c r="D82" s="60">
        <f aca="true" t="shared" si="34" ref="D82:I82">SUM(D79:D81)</f>
        <v>120000</v>
      </c>
      <c r="E82" s="60">
        <f t="shared" si="34"/>
        <v>120000</v>
      </c>
      <c r="F82" s="60">
        <f t="shared" si="34"/>
        <v>120000</v>
      </c>
      <c r="G82" s="60">
        <f t="shared" si="34"/>
        <v>120000</v>
      </c>
      <c r="H82" s="60">
        <f t="shared" si="34"/>
        <v>120000</v>
      </c>
      <c r="I82" s="60">
        <f t="shared" si="34"/>
        <v>120000</v>
      </c>
    </row>
    <row r="84" spans="2:13" ht="15">
      <c r="B84" s="113"/>
      <c r="C84" s="65" t="s">
        <v>95</v>
      </c>
      <c r="D84" s="65">
        <v>0</v>
      </c>
      <c r="E84" s="66">
        <f>D84+50000</f>
        <v>50000</v>
      </c>
      <c r="F84" s="66">
        <f>E84+50000</f>
        <v>100000</v>
      </c>
      <c r="G84" s="66">
        <f>F84+50000</f>
        <v>150000</v>
      </c>
      <c r="H84" s="66">
        <f>G84+50000</f>
        <v>200000</v>
      </c>
      <c r="I84" s="66">
        <f>H84+50000</f>
        <v>250000</v>
      </c>
      <c r="J84" s="151"/>
      <c r="K84" s="151"/>
      <c r="L84" s="151"/>
      <c r="M84" s="151"/>
    </row>
    <row r="85" spans="2:13" ht="15">
      <c r="B85" s="31">
        <v>10</v>
      </c>
      <c r="C85" s="114" t="s">
        <v>32</v>
      </c>
      <c r="D85" s="115">
        <f aca="true" t="shared" si="35" ref="D85:I85">D13</f>
        <v>0.12</v>
      </c>
      <c r="E85" s="115">
        <f t="shared" si="35"/>
        <v>0.12430918926895741</v>
      </c>
      <c r="F85" s="115">
        <f t="shared" si="35"/>
        <v>0.129616571506749</v>
      </c>
      <c r="G85" s="115">
        <f t="shared" si="35"/>
        <v>0.13719348883336893</v>
      </c>
      <c r="H85" s="115">
        <f t="shared" si="35"/>
        <v>0.1482878445297832</v>
      </c>
      <c r="I85" s="116">
        <f t="shared" si="35"/>
        <v>0.1653647674961336</v>
      </c>
      <c r="J85" s="122"/>
      <c r="K85" s="122"/>
      <c r="L85" s="122"/>
      <c r="M85" s="122"/>
    </row>
    <row r="86" spans="2:13" ht="15">
      <c r="B86" s="67"/>
      <c r="C86" s="117" t="s">
        <v>33</v>
      </c>
      <c r="D86" s="68"/>
      <c r="E86" s="68"/>
      <c r="F86" s="68"/>
      <c r="G86" s="68"/>
      <c r="H86" s="68"/>
      <c r="I86" s="118"/>
      <c r="J86" s="122"/>
      <c r="K86" s="122"/>
      <c r="L86" s="122"/>
      <c r="M86" s="122"/>
    </row>
    <row r="87" spans="2:13" ht="15">
      <c r="B87" s="34">
        <v>41</v>
      </c>
      <c r="C87" s="35" t="s">
        <v>110</v>
      </c>
      <c r="D87" s="36">
        <f>D81-E81</f>
        <v>2062.5</v>
      </c>
      <c r="E87" s="36">
        <f>E81-F81</f>
        <v>2312.5</v>
      </c>
      <c r="F87" s="36">
        <f>F81-G81</f>
        <v>2937.5</v>
      </c>
      <c r="G87" s="36">
        <f>G81-H81</f>
        <v>3687.5</v>
      </c>
      <c r="H87" s="36">
        <f>H81-I81</f>
        <v>4625</v>
      </c>
      <c r="I87" s="119"/>
      <c r="J87" s="122"/>
      <c r="K87" s="122"/>
      <c r="L87" s="122"/>
      <c r="M87" s="122"/>
    </row>
    <row r="88" spans="2:13" ht="15">
      <c r="B88" s="34">
        <v>42</v>
      </c>
      <c r="C88" s="120" t="s">
        <v>35</v>
      </c>
      <c r="D88" s="121">
        <f>D87/(D81/D85-E81/E85)</f>
        <v>0.06079723721896457</v>
      </c>
      <c r="E88" s="121">
        <f>E87/(E81/E85-F81/F85)</f>
        <v>0.06262628816431004</v>
      </c>
      <c r="F88" s="121">
        <f>F87/(F81/F85-G81/G85)</f>
        <v>0.06511503626360768</v>
      </c>
      <c r="G88" s="121">
        <f>G87/(G81/G85-H81/H85)</f>
        <v>0.06879729399924582</v>
      </c>
      <c r="H88" s="121">
        <f>H87/(H81/H85-I81/I85)</f>
        <v>0.0744859402361592</v>
      </c>
      <c r="I88" s="119"/>
      <c r="J88" s="122"/>
      <c r="K88" s="122"/>
      <c r="L88" s="122"/>
      <c r="M88" s="122"/>
    </row>
    <row r="89" spans="2:13" ht="15">
      <c r="B89" s="34"/>
      <c r="C89" s="35"/>
      <c r="D89" s="121"/>
      <c r="E89" s="121"/>
      <c r="F89" s="121"/>
      <c r="G89" s="121"/>
      <c r="H89" s="121"/>
      <c r="I89" s="122"/>
      <c r="J89" s="122"/>
      <c r="K89" s="122"/>
      <c r="L89" s="122"/>
      <c r="M89" s="122"/>
    </row>
    <row r="90" spans="2:13" ht="15">
      <c r="B90" s="31"/>
      <c r="C90" s="32" t="s">
        <v>111</v>
      </c>
      <c r="D90" s="33">
        <v>0</v>
      </c>
      <c r="E90" s="33">
        <v>0.1</v>
      </c>
      <c r="F90" s="33">
        <v>0.2</v>
      </c>
      <c r="G90" s="33">
        <v>0.3</v>
      </c>
      <c r="H90" s="33">
        <v>0.4</v>
      </c>
      <c r="I90" s="123">
        <v>0.5</v>
      </c>
      <c r="J90" s="122"/>
      <c r="K90" s="122"/>
      <c r="L90" s="122"/>
      <c r="M90" s="122"/>
    </row>
    <row r="91" spans="2:13" ht="15">
      <c r="B91" s="67">
        <v>43</v>
      </c>
      <c r="C91" s="68" t="s">
        <v>36</v>
      </c>
      <c r="D91" s="124">
        <f aca="true" t="shared" si="36" ref="D91:I91">D13-D12</f>
        <v>0.039999999999999994</v>
      </c>
      <c r="E91" s="124">
        <f t="shared" si="36"/>
        <v>0.04215459463447871</v>
      </c>
      <c r="F91" s="124">
        <f t="shared" si="36"/>
        <v>0.04480828575337449</v>
      </c>
      <c r="G91" s="124">
        <f t="shared" si="36"/>
        <v>0.04859674441668446</v>
      </c>
      <c r="H91" s="124">
        <f t="shared" si="36"/>
        <v>0.05414392226489159</v>
      </c>
      <c r="I91" s="125">
        <f t="shared" si="36"/>
        <v>0.06268238374806678</v>
      </c>
      <c r="J91" s="122"/>
      <c r="K91" s="122"/>
      <c r="L91" s="122"/>
      <c r="M91" s="122"/>
    </row>
    <row r="92" spans="2:13" ht="15">
      <c r="B92" s="126">
        <v>44</v>
      </c>
      <c r="C92" s="120" t="s">
        <v>37</v>
      </c>
      <c r="D92" s="127">
        <f aca="true" t="shared" si="37" ref="D92:I92">D13-D12*0.5</f>
        <v>0.07999999999999999</v>
      </c>
      <c r="E92" s="127">
        <f t="shared" si="37"/>
        <v>0.08323189195171807</v>
      </c>
      <c r="F92" s="127">
        <f t="shared" si="37"/>
        <v>0.08721242863006173</v>
      </c>
      <c r="G92" s="127">
        <f t="shared" si="37"/>
        <v>0.0928951166250267</v>
      </c>
      <c r="H92" s="127">
        <f t="shared" si="37"/>
        <v>0.10121588339733739</v>
      </c>
      <c r="I92" s="128">
        <f t="shared" si="37"/>
        <v>0.11402357562210019</v>
      </c>
      <c r="J92" s="122"/>
      <c r="K92" s="122"/>
      <c r="L92" s="122"/>
      <c r="M92" s="122"/>
    </row>
    <row r="93" spans="2:9" ht="15">
      <c r="B93" s="31">
        <v>45</v>
      </c>
      <c r="C93" s="114" t="s">
        <v>56</v>
      </c>
      <c r="D93" s="114">
        <f aca="true" t="shared" si="38" ref="D93:I93">D63</f>
        <v>0</v>
      </c>
      <c r="E93" s="129">
        <f t="shared" si="38"/>
        <v>103.21515221959248</v>
      </c>
      <c r="F93" s="129">
        <f t="shared" si="38"/>
        <v>108.58093737694773</v>
      </c>
      <c r="G93" s="130">
        <f t="shared" si="38"/>
        <v>108.81778607466062</v>
      </c>
      <c r="H93" s="129">
        <f t="shared" si="38"/>
        <v>103.98506004695628</v>
      </c>
      <c r="I93" s="131">
        <f t="shared" si="38"/>
        <v>95.00593722342444</v>
      </c>
    </row>
    <row r="95" spans="3:9" ht="15">
      <c r="C95" s="29"/>
      <c r="D95" s="29"/>
      <c r="E95" s="29"/>
      <c r="F95" s="29"/>
      <c r="G95" s="29"/>
      <c r="H95" s="29"/>
      <c r="I95" s="29"/>
    </row>
    <row r="96" spans="3:9" ht="15">
      <c r="C96" s="27" t="s">
        <v>112</v>
      </c>
      <c r="E96" s="132">
        <f>E11-D11</f>
        <v>0.0025000000000000022</v>
      </c>
      <c r="F96" s="132">
        <f>F11-E11</f>
        <v>0.0049999999999999906</v>
      </c>
      <c r="G96" s="132">
        <f>G11-F11</f>
        <v>0.010000000000000009</v>
      </c>
      <c r="H96" s="132">
        <f>H11-G11</f>
        <v>0.012499999999999997</v>
      </c>
      <c r="I96" s="132">
        <f>I11-H11</f>
        <v>0.015</v>
      </c>
    </row>
    <row r="97" spans="3:9" ht="15">
      <c r="C97" s="27" t="s">
        <v>113</v>
      </c>
      <c r="E97" s="132">
        <f>E13-D13</f>
        <v>0.004309189268957417</v>
      </c>
      <c r="F97" s="132">
        <f>F13-E13</f>
        <v>0.0053073822377915775</v>
      </c>
      <c r="G97" s="132">
        <f>G13-F13</f>
        <v>0.007576917326619942</v>
      </c>
      <c r="H97" s="132">
        <f>H13-G13</f>
        <v>0.01109435569641426</v>
      </c>
      <c r="I97" s="132">
        <f>I13-H13</f>
        <v>0.01707692296635041</v>
      </c>
    </row>
    <row r="98" spans="3:9" ht="15">
      <c r="C98" s="133" t="s">
        <v>36</v>
      </c>
      <c r="D98" s="132">
        <f aca="true" t="shared" si="39" ref="D98:I98">D13-D11</f>
        <v>0.039999999999999994</v>
      </c>
      <c r="E98" s="132">
        <f t="shared" si="39"/>
        <v>0.04180918926895741</v>
      </c>
      <c r="F98" s="132">
        <f t="shared" si="39"/>
        <v>0.042116571506748995</v>
      </c>
      <c r="G98" s="132">
        <f t="shared" si="39"/>
        <v>0.03969348883336893</v>
      </c>
      <c r="H98" s="132">
        <f t="shared" si="39"/>
        <v>0.03828784452978319</v>
      </c>
      <c r="I98" s="132">
        <f t="shared" si="39"/>
        <v>0.0403647674961336</v>
      </c>
    </row>
    <row r="99" spans="2:13" ht="15.75" thickBot="1">
      <c r="B99" s="112"/>
      <c r="C99" s="134" t="s">
        <v>37</v>
      </c>
      <c r="D99" s="135">
        <f aca="true" t="shared" si="40" ref="D99:I99">D13-D11*0.5</f>
        <v>0.07999999999999999</v>
      </c>
      <c r="E99" s="135">
        <f t="shared" si="40"/>
        <v>0.08305918926895742</v>
      </c>
      <c r="F99" s="135">
        <f t="shared" si="40"/>
        <v>0.08586657150674899</v>
      </c>
      <c r="G99" s="135">
        <f t="shared" si="40"/>
        <v>0.08844348883336893</v>
      </c>
      <c r="H99" s="135">
        <f t="shared" si="40"/>
        <v>0.0932878445297832</v>
      </c>
      <c r="I99" s="135">
        <f t="shared" si="40"/>
        <v>0.1028647674961336</v>
      </c>
      <c r="J99" s="154"/>
      <c r="K99" s="154"/>
      <c r="L99" s="154"/>
      <c r="M99" s="154"/>
    </row>
    <row r="100" spans="3:9" ht="15">
      <c r="C100" s="133" t="s">
        <v>114</v>
      </c>
      <c r="D100" s="136"/>
      <c r="E100" s="136"/>
      <c r="F100" s="136"/>
      <c r="G100" s="136"/>
      <c r="H100" s="136"/>
      <c r="I100" s="136"/>
    </row>
    <row r="101" spans="3:9" ht="15">
      <c r="C101" s="133" t="s">
        <v>115</v>
      </c>
      <c r="D101" s="136"/>
      <c r="E101" s="136">
        <f>E13-E11*0.5</f>
        <v>0.08305918926895742</v>
      </c>
      <c r="F101" s="136">
        <f>F13-F11*0.5</f>
        <v>0.08586657150674899</v>
      </c>
      <c r="G101" s="136">
        <f>G13-G11*0.5</f>
        <v>0.08844348883336893</v>
      </c>
      <c r="H101" s="137">
        <f>H13-H11*0.5</f>
        <v>0.0932878445297832</v>
      </c>
      <c r="I101" s="137">
        <f>I13-I11*0.5</f>
        <v>0.1028647674961336</v>
      </c>
    </row>
    <row r="102" spans="3:9" ht="15">
      <c r="C102" s="133" t="s">
        <v>116</v>
      </c>
      <c r="D102" s="136"/>
      <c r="E102" s="136">
        <f>(D15*(E13-D13)+D14*0.5*(E11-D11))/50000</f>
        <v>0.04309189268957417</v>
      </c>
      <c r="F102" s="136">
        <f>(E15*(F13-E13)+E14*0.5*(F11-E11))/50000</f>
        <v>0.05198335515363596</v>
      </c>
      <c r="G102" s="136">
        <f>(F15*(G13-F13)+F14*0.5*(G11-F11))/50000</f>
        <v>0.07535012604860816</v>
      </c>
      <c r="H102" s="137">
        <f>(G15*(H13-G13)+G14*0.5*(H11-G11))/50000</f>
        <v>0.10584728553934412</v>
      </c>
      <c r="I102" s="137">
        <f>(H15*(I13-H13)+H14*0.5*(I11-H11))/50000</f>
        <v>0.14791014063843802</v>
      </c>
    </row>
    <row r="103" spans="3:9" ht="15">
      <c r="C103" s="133"/>
      <c r="D103" s="136"/>
      <c r="E103" s="136"/>
      <c r="F103" s="136"/>
      <c r="G103" s="136"/>
      <c r="H103" s="136"/>
      <c r="I103" s="136"/>
    </row>
    <row r="105" ht="15">
      <c r="C105" s="138" t="s">
        <v>117</v>
      </c>
    </row>
    <row r="106" spans="2:9" ht="15">
      <c r="B106" s="27">
        <v>9</v>
      </c>
      <c r="C106" s="29" t="s">
        <v>118</v>
      </c>
      <c r="D106" s="99">
        <v>0.08</v>
      </c>
      <c r="E106" s="99">
        <v>0.0825</v>
      </c>
      <c r="F106" s="99">
        <v>0.0875</v>
      </c>
      <c r="G106" s="99">
        <v>0.0975</v>
      </c>
      <c r="H106" s="99">
        <v>0.11</v>
      </c>
      <c r="I106" s="99">
        <v>0.125</v>
      </c>
    </row>
    <row r="107" spans="2:9" ht="15">
      <c r="B107" s="27">
        <v>10</v>
      </c>
      <c r="C107" s="29" t="s">
        <v>119</v>
      </c>
      <c r="D107" s="99">
        <v>0.12</v>
      </c>
      <c r="E107" s="99">
        <v>0.125</v>
      </c>
      <c r="F107" s="99">
        <v>0.1325</v>
      </c>
      <c r="G107" s="99">
        <v>0.145</v>
      </c>
      <c r="H107" s="99">
        <v>0.16</v>
      </c>
      <c r="I107" s="99">
        <v>0.18</v>
      </c>
    </row>
    <row r="109" spans="8:9" ht="15">
      <c r="H109" s="139"/>
      <c r="I109" s="139"/>
    </row>
    <row r="110" spans="5:10" ht="15">
      <c r="E110" s="139" t="s">
        <v>120</v>
      </c>
      <c r="F110" s="139"/>
      <c r="G110" s="139"/>
      <c r="H110" s="139"/>
      <c r="I110" s="139"/>
      <c r="J110" s="139"/>
    </row>
    <row r="111" spans="5:9" ht="15">
      <c r="E111" t="s">
        <v>121</v>
      </c>
      <c r="F111" t="s">
        <v>122</v>
      </c>
      <c r="G111" t="s">
        <v>123</v>
      </c>
      <c r="H111" t="s">
        <v>121</v>
      </c>
      <c r="I111" t="s">
        <v>122</v>
      </c>
    </row>
    <row r="112" spans="3:11" ht="15">
      <c r="C112">
        <v>0</v>
      </c>
      <c r="D112" t="s">
        <v>124</v>
      </c>
      <c r="K112" t="s">
        <v>125</v>
      </c>
    </row>
    <row r="113" spans="3:11" ht="15">
      <c r="C113">
        <f>C112+1</f>
        <v>1</v>
      </c>
      <c r="D113">
        <v>0.06</v>
      </c>
      <c r="E113">
        <v>110</v>
      </c>
      <c r="F113">
        <v>0.1</v>
      </c>
      <c r="G113">
        <f>E113/F113</f>
        <v>1100</v>
      </c>
      <c r="H113">
        <v>200</v>
      </c>
      <c r="I113">
        <v>0.17</v>
      </c>
      <c r="K113">
        <f>(J113+G113)/2</f>
        <v>550</v>
      </c>
    </row>
    <row r="114" spans="3:11" ht="15">
      <c r="C114">
        <f aca="true" t="shared" si="41" ref="C114:C126">C113+1</f>
        <v>2</v>
      </c>
      <c r="D114">
        <v>0.06</v>
      </c>
      <c r="E114">
        <v>120</v>
      </c>
      <c r="F114">
        <v>0.1</v>
      </c>
      <c r="G114">
        <f aca="true" t="shared" si="42" ref="G114:G126">E114/F114</f>
        <v>1200</v>
      </c>
      <c r="H114">
        <v>200</v>
      </c>
      <c r="I114">
        <v>0.17</v>
      </c>
      <c r="K114">
        <f aca="true" t="shared" si="43" ref="K114:K126">(J114+G114)/2</f>
        <v>600</v>
      </c>
    </row>
    <row r="115" spans="3:11" ht="15">
      <c r="C115">
        <f t="shared" si="41"/>
        <v>3</v>
      </c>
      <c r="D115">
        <v>0.06</v>
      </c>
      <c r="E115">
        <v>110</v>
      </c>
      <c r="F115">
        <v>0.1</v>
      </c>
      <c r="G115">
        <f t="shared" si="42"/>
        <v>1100</v>
      </c>
      <c r="H115">
        <v>200</v>
      </c>
      <c r="I115">
        <v>0.17</v>
      </c>
      <c r="K115">
        <f t="shared" si="43"/>
        <v>550</v>
      </c>
    </row>
    <row r="116" spans="3:11" ht="15">
      <c r="C116">
        <f t="shared" si="41"/>
        <v>4</v>
      </c>
      <c r="D116">
        <v>0.06</v>
      </c>
      <c r="E116">
        <v>120</v>
      </c>
      <c r="F116">
        <v>0.1</v>
      </c>
      <c r="G116">
        <f t="shared" si="42"/>
        <v>1200</v>
      </c>
      <c r="H116">
        <v>200</v>
      </c>
      <c r="I116">
        <v>0.17</v>
      </c>
      <c r="K116">
        <f t="shared" si="43"/>
        <v>600</v>
      </c>
    </row>
    <row r="117" spans="3:11" ht="15">
      <c r="C117">
        <f t="shared" si="41"/>
        <v>5</v>
      </c>
      <c r="D117">
        <v>0.06</v>
      </c>
      <c r="E117">
        <v>110</v>
      </c>
      <c r="F117">
        <v>0.1</v>
      </c>
      <c r="G117">
        <f t="shared" si="42"/>
        <v>1100</v>
      </c>
      <c r="H117">
        <v>200</v>
      </c>
      <c r="I117">
        <v>0.17</v>
      </c>
      <c r="K117">
        <f t="shared" si="43"/>
        <v>550</v>
      </c>
    </row>
    <row r="118" spans="3:11" ht="15">
      <c r="C118">
        <f t="shared" si="41"/>
        <v>6</v>
      </c>
      <c r="D118">
        <v>0.06</v>
      </c>
      <c r="E118">
        <v>120</v>
      </c>
      <c r="F118">
        <v>0.1</v>
      </c>
      <c r="G118">
        <f t="shared" si="42"/>
        <v>1200</v>
      </c>
      <c r="H118">
        <v>200</v>
      </c>
      <c r="I118">
        <v>0.17</v>
      </c>
      <c r="K118">
        <f t="shared" si="43"/>
        <v>600</v>
      </c>
    </row>
    <row r="119" spans="3:11" ht="15">
      <c r="C119">
        <f t="shared" si="41"/>
        <v>7</v>
      </c>
      <c r="D119">
        <v>0.06</v>
      </c>
      <c r="E119">
        <v>110</v>
      </c>
      <c r="F119">
        <v>0.1</v>
      </c>
      <c r="G119">
        <f t="shared" si="42"/>
        <v>1100</v>
      </c>
      <c r="H119">
        <v>200</v>
      </c>
      <c r="I119">
        <v>0.17</v>
      </c>
      <c r="K119">
        <f t="shared" si="43"/>
        <v>550</v>
      </c>
    </row>
    <row r="120" spans="3:11" ht="15">
      <c r="C120">
        <f t="shared" si="41"/>
        <v>8</v>
      </c>
      <c r="D120">
        <v>0.06</v>
      </c>
      <c r="E120">
        <v>120</v>
      </c>
      <c r="F120">
        <v>0.1</v>
      </c>
      <c r="G120">
        <f t="shared" si="42"/>
        <v>1200</v>
      </c>
      <c r="H120">
        <v>200</v>
      </c>
      <c r="I120">
        <v>0.17</v>
      </c>
      <c r="K120">
        <f t="shared" si="43"/>
        <v>600</v>
      </c>
    </row>
    <row r="121" spans="3:11" ht="15">
      <c r="C121">
        <f t="shared" si="41"/>
        <v>9</v>
      </c>
      <c r="D121">
        <v>0.06</v>
      </c>
      <c r="E121">
        <v>110</v>
      </c>
      <c r="F121">
        <v>0.1</v>
      </c>
      <c r="G121">
        <f t="shared" si="42"/>
        <v>1100</v>
      </c>
      <c r="H121">
        <v>200</v>
      </c>
      <c r="I121">
        <v>0.17</v>
      </c>
      <c r="K121">
        <f t="shared" si="43"/>
        <v>550</v>
      </c>
    </row>
    <row r="122" spans="3:11" ht="15">
      <c r="C122">
        <f t="shared" si="41"/>
        <v>10</v>
      </c>
      <c r="D122">
        <v>0.06</v>
      </c>
      <c r="E122">
        <v>120</v>
      </c>
      <c r="F122">
        <v>0.1</v>
      </c>
      <c r="G122">
        <f t="shared" si="42"/>
        <v>1200</v>
      </c>
      <c r="H122">
        <v>200</v>
      </c>
      <c r="I122">
        <v>0.17</v>
      </c>
      <c r="K122">
        <f t="shared" si="43"/>
        <v>600</v>
      </c>
    </row>
    <row r="123" spans="3:11" ht="15">
      <c r="C123">
        <f t="shared" si="41"/>
        <v>11</v>
      </c>
      <c r="D123">
        <v>0.06</v>
      </c>
      <c r="E123">
        <v>110</v>
      </c>
      <c r="F123">
        <v>0.1</v>
      </c>
      <c r="G123">
        <f t="shared" si="42"/>
        <v>1100</v>
      </c>
      <c r="H123">
        <v>200</v>
      </c>
      <c r="I123">
        <v>0.17</v>
      </c>
      <c r="K123">
        <f t="shared" si="43"/>
        <v>550</v>
      </c>
    </row>
    <row r="124" spans="3:11" ht="15">
      <c r="C124">
        <f t="shared" si="41"/>
        <v>12</v>
      </c>
      <c r="D124">
        <v>0.06</v>
      </c>
      <c r="E124">
        <v>120</v>
      </c>
      <c r="F124">
        <v>0.1</v>
      </c>
      <c r="G124">
        <f t="shared" si="42"/>
        <v>1200</v>
      </c>
      <c r="H124">
        <v>200</v>
      </c>
      <c r="I124">
        <v>0.17</v>
      </c>
      <c r="K124">
        <f t="shared" si="43"/>
        <v>600</v>
      </c>
    </row>
    <row r="125" spans="3:11" ht="15">
      <c r="C125">
        <f t="shared" si="41"/>
        <v>13</v>
      </c>
      <c r="D125">
        <v>0.06</v>
      </c>
      <c r="E125">
        <v>110</v>
      </c>
      <c r="F125">
        <v>0.1</v>
      </c>
      <c r="G125">
        <f t="shared" si="42"/>
        <v>1100</v>
      </c>
      <c r="H125">
        <v>200</v>
      </c>
      <c r="I125">
        <v>0.17</v>
      </c>
      <c r="K125">
        <f t="shared" si="43"/>
        <v>550</v>
      </c>
    </row>
    <row r="126" spans="3:11" ht="15">
      <c r="C126">
        <f t="shared" si="41"/>
        <v>14</v>
      </c>
      <c r="D126">
        <v>0.06</v>
      </c>
      <c r="E126">
        <v>120</v>
      </c>
      <c r="F126">
        <v>0.1</v>
      </c>
      <c r="G126">
        <f t="shared" si="42"/>
        <v>1200</v>
      </c>
      <c r="H126">
        <v>200</v>
      </c>
      <c r="I126">
        <v>0.17</v>
      </c>
      <c r="K126">
        <f t="shared" si="43"/>
        <v>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3"/>
  <sheetViews>
    <sheetView zoomScalePageLayoutView="0" workbookViewId="0" topLeftCell="A1">
      <selection activeCell="F16" sqref="F16"/>
    </sheetView>
  </sheetViews>
  <sheetFormatPr defaultColWidth="11.421875" defaultRowHeight="15"/>
  <cols>
    <col min="1" max="2" width="9.140625" style="0" customWidth="1"/>
    <col min="3" max="3" width="6.421875" style="0" bestFit="1" customWidth="1"/>
    <col min="4" max="4" width="9.140625" style="0" customWidth="1"/>
    <col min="5" max="5" width="9.421875" style="0" customWidth="1"/>
    <col min="6" max="6" width="9.140625" style="0" customWidth="1"/>
    <col min="7" max="7" width="8.28125" style="0" customWidth="1"/>
    <col min="8" max="8" width="9.140625" style="0" customWidth="1"/>
    <col min="9" max="9" width="13.7109375" style="0" bestFit="1" customWidth="1"/>
    <col min="10" max="16384" width="9.140625" style="0" customWidth="1"/>
  </cols>
  <sheetData>
    <row r="2" ht="15.75" thickBot="1">
      <c r="B2" s="15" t="s">
        <v>57</v>
      </c>
    </row>
    <row r="3" spans="2:9" ht="15">
      <c r="B3" s="20" t="s">
        <v>58</v>
      </c>
      <c r="C3" s="25" t="s">
        <v>59</v>
      </c>
      <c r="D3" s="21" t="s">
        <v>59</v>
      </c>
      <c r="E3" s="21" t="s">
        <v>59</v>
      </c>
      <c r="F3" s="21" t="s">
        <v>60</v>
      </c>
      <c r="G3" s="21" t="s">
        <v>61</v>
      </c>
      <c r="H3" s="21" t="s">
        <v>62</v>
      </c>
      <c r="I3" s="21" t="s">
        <v>63</v>
      </c>
    </row>
    <row r="4" spans="2:9" ht="15.75" thickBot="1">
      <c r="B4" s="8" t="s">
        <v>64</v>
      </c>
      <c r="C4" s="18" t="s">
        <v>65</v>
      </c>
      <c r="D4" s="22" t="s">
        <v>66</v>
      </c>
      <c r="E4" s="22" t="s">
        <v>67</v>
      </c>
      <c r="F4" s="22" t="s">
        <v>68</v>
      </c>
      <c r="G4" s="22" t="s">
        <v>66</v>
      </c>
      <c r="H4" s="22" t="s">
        <v>66</v>
      </c>
      <c r="I4" s="22" t="s">
        <v>66</v>
      </c>
    </row>
    <row r="5" spans="2:9" ht="15.75" thickBot="1">
      <c r="B5" s="23">
        <v>0.1</v>
      </c>
      <c r="C5" s="12">
        <v>17683</v>
      </c>
      <c r="D5" s="12">
        <v>1646</v>
      </c>
      <c r="E5" s="12">
        <v>16037</v>
      </c>
      <c r="F5" s="360">
        <v>0.064</v>
      </c>
      <c r="G5" s="362">
        <v>0.097</v>
      </c>
      <c r="H5" s="22">
        <v>1646</v>
      </c>
      <c r="I5" s="364">
        <v>0.097</v>
      </c>
    </row>
    <row r="6" spans="2:9" ht="15.75" thickBot="1">
      <c r="B6" s="23">
        <v>0.2</v>
      </c>
      <c r="C6" s="12">
        <v>18968</v>
      </c>
      <c r="D6" s="12">
        <v>3292</v>
      </c>
      <c r="E6" s="12">
        <v>15676</v>
      </c>
      <c r="F6" s="360">
        <v>0.0693</v>
      </c>
      <c r="G6" s="362">
        <v>0.105</v>
      </c>
      <c r="H6" s="22">
        <v>1646</v>
      </c>
      <c r="I6" s="364">
        <v>0.113</v>
      </c>
    </row>
    <row r="7" spans="2:9" ht="15.75" thickBot="1">
      <c r="B7" s="23">
        <v>0.3</v>
      </c>
      <c r="C7" s="24">
        <v>19772</v>
      </c>
      <c r="D7" s="12">
        <v>4938</v>
      </c>
      <c r="E7" s="12">
        <v>14834</v>
      </c>
      <c r="F7" s="360">
        <v>0.0759</v>
      </c>
      <c r="G7" s="362">
        <v>0.115</v>
      </c>
      <c r="H7" s="22">
        <v>1646</v>
      </c>
      <c r="I7" s="364">
        <v>0.135</v>
      </c>
    </row>
    <row r="8" spans="2:9" ht="15.75" thickBot="1">
      <c r="B8" s="23">
        <v>0.4</v>
      </c>
      <c r="C8" s="12">
        <v>18327</v>
      </c>
      <c r="D8" s="12">
        <v>6584</v>
      </c>
      <c r="E8" s="12">
        <v>11743</v>
      </c>
      <c r="F8" s="360">
        <v>0.0924</v>
      </c>
      <c r="G8" s="362">
        <v>0.14</v>
      </c>
      <c r="H8" s="22">
        <v>1646</v>
      </c>
      <c r="I8" s="363">
        <v>0.215</v>
      </c>
    </row>
    <row r="9" spans="2:9" ht="15.75" thickBot="1">
      <c r="B9" s="23">
        <v>0.5</v>
      </c>
      <c r="C9" s="12">
        <v>17657</v>
      </c>
      <c r="D9" s="12">
        <v>8230</v>
      </c>
      <c r="E9" s="12">
        <v>9427</v>
      </c>
      <c r="F9" s="360">
        <v>0.099</v>
      </c>
      <c r="G9" s="362">
        <v>0.15</v>
      </c>
      <c r="H9" s="22">
        <v>1646</v>
      </c>
      <c r="I9" s="363">
        <v>0.19</v>
      </c>
    </row>
    <row r="10" spans="2:9" ht="15.75" thickBot="1">
      <c r="B10" s="23">
        <v>0.6</v>
      </c>
      <c r="C10" s="12">
        <v>14257</v>
      </c>
      <c r="D10" s="12">
        <v>9876</v>
      </c>
      <c r="E10" s="12">
        <v>4381</v>
      </c>
      <c r="F10" s="360">
        <v>0.1172</v>
      </c>
      <c r="G10" s="362">
        <v>0.165</v>
      </c>
      <c r="H10" s="22">
        <v>1646</v>
      </c>
      <c r="I10" s="363">
        <v>0.24</v>
      </c>
    </row>
    <row r="11" spans="2:9" ht="15.75" thickBot="1">
      <c r="B11" s="23">
        <v>0.7</v>
      </c>
      <c r="C11" s="12">
        <v>10880</v>
      </c>
      <c r="D11" s="12">
        <v>11522</v>
      </c>
      <c r="E11" s="24">
        <v>-642</v>
      </c>
      <c r="F11" s="360">
        <v>0.139</v>
      </c>
      <c r="G11" s="362">
        <v>0.18</v>
      </c>
      <c r="H11" s="22">
        <v>1646</v>
      </c>
      <c r="I11" s="363">
        <v>0.27</v>
      </c>
    </row>
    <row r="12" spans="2:9" ht="15.75" thickBot="1">
      <c r="B12" s="23">
        <v>0.8</v>
      </c>
      <c r="C12" s="12">
        <v>9769</v>
      </c>
      <c r="D12" s="12">
        <v>13168</v>
      </c>
      <c r="E12" s="24">
        <v>-3399</v>
      </c>
      <c r="F12" s="360">
        <v>0.1442</v>
      </c>
      <c r="G12" s="362">
        <v>0.18</v>
      </c>
      <c r="H12" s="22">
        <v>1646</v>
      </c>
      <c r="I12" s="364">
        <v>0.18</v>
      </c>
    </row>
    <row r="13" spans="2:9" ht="15.75" thickBot="1">
      <c r="B13" s="23">
        <v>0.9</v>
      </c>
      <c r="C13" s="12">
        <v>8864</v>
      </c>
      <c r="D13" s="12">
        <v>14814</v>
      </c>
      <c r="E13" s="361">
        <v>-5950</v>
      </c>
      <c r="F13" s="360">
        <v>0.1481</v>
      </c>
      <c r="G13" s="362">
        <v>0.18</v>
      </c>
      <c r="H13" s="22">
        <v>1646</v>
      </c>
      <c r="I13" s="364">
        <v>0.18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80"/>
  <sheetViews>
    <sheetView zoomScalePageLayoutView="0" workbookViewId="0" topLeftCell="A1">
      <selection activeCell="O20" sqref="O20"/>
    </sheetView>
  </sheetViews>
  <sheetFormatPr defaultColWidth="11.421875" defaultRowHeight="15"/>
  <cols>
    <col min="1" max="1" width="2.8515625" style="28" customWidth="1"/>
    <col min="2" max="2" width="28.28125" style="29" customWidth="1"/>
    <col min="3" max="12" width="8.28125" style="29" customWidth="1"/>
    <col min="13" max="13" width="10.7109375" style="194" customWidth="1"/>
    <col min="14" max="16384" width="9.140625" style="0" customWidth="1"/>
  </cols>
  <sheetData>
    <row r="2" ht="15.75" thickBot="1">
      <c r="B2" s="15" t="s">
        <v>182</v>
      </c>
    </row>
    <row r="3" spans="1:13" ht="15.75" thickBot="1">
      <c r="A3" s="200">
        <v>1</v>
      </c>
      <c r="B3" s="201" t="s">
        <v>69</v>
      </c>
      <c r="C3" s="201">
        <v>0</v>
      </c>
      <c r="D3" s="201">
        <f aca="true" t="shared" si="0" ref="D3:L3">C3+0.1</f>
        <v>0.1</v>
      </c>
      <c r="E3" s="201">
        <f t="shared" si="0"/>
        <v>0.2</v>
      </c>
      <c r="F3" s="201">
        <f t="shared" si="0"/>
        <v>0.30000000000000004</v>
      </c>
      <c r="G3" s="201">
        <f t="shared" si="0"/>
        <v>0.4</v>
      </c>
      <c r="H3" s="201">
        <f t="shared" si="0"/>
        <v>0.5</v>
      </c>
      <c r="I3" s="201">
        <f t="shared" si="0"/>
        <v>0.6</v>
      </c>
      <c r="J3" s="201">
        <f t="shared" si="0"/>
        <v>0.7</v>
      </c>
      <c r="K3" s="201">
        <f t="shared" si="0"/>
        <v>0.7999999999999999</v>
      </c>
      <c r="L3" s="202">
        <f t="shared" si="0"/>
        <v>0.8999999999999999</v>
      </c>
      <c r="M3" s="195"/>
    </row>
    <row r="4" spans="1:13" ht="15">
      <c r="A4" s="203">
        <f>A3+1</f>
        <v>2</v>
      </c>
      <c r="B4" s="176" t="s">
        <v>70</v>
      </c>
      <c r="C4" s="176">
        <f>C3/(1-C3)</f>
        <v>0</v>
      </c>
      <c r="D4" s="176">
        <f aca="true" t="shared" si="1" ref="D4:L4">D3/(1-D3)</f>
        <v>0.11111111111111112</v>
      </c>
      <c r="E4" s="176">
        <f t="shared" si="1"/>
        <v>0.25</v>
      </c>
      <c r="F4" s="176">
        <f t="shared" si="1"/>
        <v>0.42857142857142866</v>
      </c>
      <c r="G4" s="176">
        <f t="shared" si="1"/>
        <v>0.6666666666666667</v>
      </c>
      <c r="H4" s="176">
        <f t="shared" si="1"/>
        <v>1</v>
      </c>
      <c r="I4" s="176">
        <f t="shared" si="1"/>
        <v>1.4999999999999998</v>
      </c>
      <c r="J4" s="176">
        <f t="shared" si="1"/>
        <v>2.333333333333333</v>
      </c>
      <c r="K4" s="176">
        <f t="shared" si="1"/>
        <v>3.9999999999999982</v>
      </c>
      <c r="L4" s="177">
        <f t="shared" si="1"/>
        <v>8.999999999999991</v>
      </c>
      <c r="M4" s="196"/>
    </row>
    <row r="5" spans="1:12" ht="15">
      <c r="A5" s="203">
        <f>A4+1</f>
        <v>3</v>
      </c>
      <c r="B5" s="44" t="s">
        <v>71</v>
      </c>
      <c r="C5" s="58">
        <v>0</v>
      </c>
      <c r="D5" s="58">
        <v>1646</v>
      </c>
      <c r="E5" s="58">
        <f aca="true" t="shared" si="2" ref="E5:L5">D5*E3/D3</f>
        <v>3292.0000000000005</v>
      </c>
      <c r="F5" s="58">
        <f t="shared" si="2"/>
        <v>4938.000000000001</v>
      </c>
      <c r="G5" s="58">
        <f t="shared" si="2"/>
        <v>6584.000000000001</v>
      </c>
      <c r="H5" s="58">
        <f t="shared" si="2"/>
        <v>8230</v>
      </c>
      <c r="I5" s="58">
        <f t="shared" si="2"/>
        <v>9876</v>
      </c>
      <c r="J5" s="58">
        <f t="shared" si="2"/>
        <v>11522</v>
      </c>
      <c r="K5" s="58">
        <f t="shared" si="2"/>
        <v>13167.999999999998</v>
      </c>
      <c r="L5" s="84">
        <f t="shared" si="2"/>
        <v>14813.999999999998</v>
      </c>
    </row>
    <row r="6" spans="1:13" ht="15">
      <c r="A6" s="203">
        <f>A5+1</f>
        <v>4</v>
      </c>
      <c r="B6" s="110" t="s">
        <v>72</v>
      </c>
      <c r="C6" s="204">
        <v>0.097</v>
      </c>
      <c r="D6" s="204">
        <v>0.097</v>
      </c>
      <c r="E6" s="204">
        <v>0.105</v>
      </c>
      <c r="F6" s="204">
        <v>0.115</v>
      </c>
      <c r="G6" s="204">
        <v>0.14</v>
      </c>
      <c r="H6" s="204">
        <v>0.15</v>
      </c>
      <c r="I6" s="204">
        <v>0.165</v>
      </c>
      <c r="J6" s="204">
        <v>0.18</v>
      </c>
      <c r="K6" s="204">
        <v>0.18</v>
      </c>
      <c r="L6" s="205">
        <v>0.18</v>
      </c>
      <c r="M6" s="197"/>
    </row>
    <row r="7" spans="1:12" ht="15">
      <c r="A7" s="203">
        <f>A6+1</f>
        <v>5</v>
      </c>
      <c r="B7" s="44" t="s">
        <v>73</v>
      </c>
      <c r="C7" s="176">
        <v>0.34</v>
      </c>
      <c r="D7" s="176">
        <v>0.34</v>
      </c>
      <c r="E7" s="176">
        <v>0.34</v>
      </c>
      <c r="F7" s="176">
        <v>0.34</v>
      </c>
      <c r="G7" s="176">
        <v>0.34</v>
      </c>
      <c r="H7" s="176">
        <v>0.34</v>
      </c>
      <c r="I7" s="166">
        <v>0.2896</v>
      </c>
      <c r="J7" s="166">
        <v>0.2276</v>
      </c>
      <c r="K7" s="166">
        <v>0.1991</v>
      </c>
      <c r="L7" s="167">
        <v>0.177</v>
      </c>
    </row>
    <row r="8" spans="1:12" ht="15.75" thickBot="1">
      <c r="A8" s="206">
        <f>A7+1</f>
        <v>6</v>
      </c>
      <c r="B8" s="46" t="s">
        <v>74</v>
      </c>
      <c r="C8" s="46">
        <v>0.94</v>
      </c>
      <c r="D8" s="46">
        <v>0.94</v>
      </c>
      <c r="E8" s="46">
        <v>0.94</v>
      </c>
      <c r="F8" s="46">
        <v>0.94</v>
      </c>
      <c r="G8" s="46">
        <v>0.94</v>
      </c>
      <c r="H8" s="46">
        <v>0.94</v>
      </c>
      <c r="I8" s="46">
        <v>0.94</v>
      </c>
      <c r="J8" s="46">
        <v>0.94</v>
      </c>
      <c r="K8" s="46">
        <v>0.94</v>
      </c>
      <c r="L8" s="207">
        <v>0.94</v>
      </c>
    </row>
    <row r="9" spans="1:12" ht="15">
      <c r="A9" s="208"/>
      <c r="B9" s="209" t="s">
        <v>155</v>
      </c>
      <c r="C9" s="44"/>
      <c r="D9" s="44"/>
      <c r="E9" s="44"/>
      <c r="F9" s="44"/>
      <c r="G9" s="44"/>
      <c r="H9" s="44"/>
      <c r="I9" s="44"/>
      <c r="J9" s="44"/>
      <c r="K9" s="44"/>
      <c r="L9" s="63"/>
    </row>
    <row r="10" spans="1:12" ht="15">
      <c r="A10" s="203">
        <f>A8+1</f>
        <v>7</v>
      </c>
      <c r="B10" s="44" t="s">
        <v>75</v>
      </c>
      <c r="C10" s="58">
        <v>2063</v>
      </c>
      <c r="D10" s="58">
        <v>2063</v>
      </c>
      <c r="E10" s="58">
        <v>2063</v>
      </c>
      <c r="F10" s="58">
        <v>2063</v>
      </c>
      <c r="G10" s="58">
        <v>2063</v>
      </c>
      <c r="H10" s="58">
        <v>2063</v>
      </c>
      <c r="I10" s="58">
        <v>2063</v>
      </c>
      <c r="J10" s="58">
        <v>2063</v>
      </c>
      <c r="K10" s="58">
        <v>2063</v>
      </c>
      <c r="L10" s="84">
        <v>2063</v>
      </c>
    </row>
    <row r="11" spans="1:12" ht="15">
      <c r="A11" s="203">
        <f aca="true" t="shared" si="3" ref="A11:A22">A10+1</f>
        <v>8</v>
      </c>
      <c r="B11" s="44" t="s">
        <v>76</v>
      </c>
      <c r="C11" s="58">
        <v>675</v>
      </c>
      <c r="D11" s="58">
        <v>675</v>
      </c>
      <c r="E11" s="58">
        <v>675</v>
      </c>
      <c r="F11" s="58">
        <v>675</v>
      </c>
      <c r="G11" s="58">
        <v>675</v>
      </c>
      <c r="H11" s="58">
        <v>675</v>
      </c>
      <c r="I11" s="58">
        <v>675</v>
      </c>
      <c r="J11" s="58">
        <v>675</v>
      </c>
      <c r="K11" s="58">
        <v>675</v>
      </c>
      <c r="L11" s="84">
        <v>675</v>
      </c>
    </row>
    <row r="12" spans="1:12" ht="15">
      <c r="A12" s="203">
        <f t="shared" si="3"/>
        <v>9</v>
      </c>
      <c r="B12" s="44" t="s">
        <v>77</v>
      </c>
      <c r="C12" s="58">
        <f>C5*C6</f>
        <v>0</v>
      </c>
      <c r="D12" s="58">
        <f aca="true" t="shared" si="4" ref="D12:L12">D5*D6</f>
        <v>159.662</v>
      </c>
      <c r="E12" s="58">
        <f t="shared" si="4"/>
        <v>345.66</v>
      </c>
      <c r="F12" s="58">
        <f t="shared" si="4"/>
        <v>567.8700000000001</v>
      </c>
      <c r="G12" s="58">
        <f t="shared" si="4"/>
        <v>921.7600000000002</v>
      </c>
      <c r="H12" s="58">
        <f t="shared" si="4"/>
        <v>1234.5</v>
      </c>
      <c r="I12" s="58">
        <f t="shared" si="4"/>
        <v>1629.54</v>
      </c>
      <c r="J12" s="58">
        <f t="shared" si="4"/>
        <v>2073.96</v>
      </c>
      <c r="K12" s="58">
        <f t="shared" si="4"/>
        <v>2370.24</v>
      </c>
      <c r="L12" s="84">
        <f t="shared" si="4"/>
        <v>2666.5199999999995</v>
      </c>
    </row>
    <row r="13" spans="1:12" ht="15">
      <c r="A13" s="203">
        <f t="shared" si="3"/>
        <v>10</v>
      </c>
      <c r="B13" s="44" t="s">
        <v>78</v>
      </c>
      <c r="C13" s="58">
        <f aca="true" t="shared" si="5" ref="C13:L13">C10-C11-C12</f>
        <v>1388</v>
      </c>
      <c r="D13" s="58">
        <f t="shared" si="5"/>
        <v>1228.338</v>
      </c>
      <c r="E13" s="58">
        <f t="shared" si="5"/>
        <v>1042.34</v>
      </c>
      <c r="F13" s="58">
        <f t="shared" si="5"/>
        <v>820.1299999999999</v>
      </c>
      <c r="G13" s="58">
        <f t="shared" si="5"/>
        <v>466.2399999999998</v>
      </c>
      <c r="H13" s="58">
        <f t="shared" si="5"/>
        <v>153.5</v>
      </c>
      <c r="I13" s="58">
        <f t="shared" si="5"/>
        <v>-241.53999999999996</v>
      </c>
      <c r="J13" s="58">
        <f t="shared" si="5"/>
        <v>-685.96</v>
      </c>
      <c r="K13" s="58">
        <f t="shared" si="5"/>
        <v>-982.2399999999998</v>
      </c>
      <c r="L13" s="84">
        <f t="shared" si="5"/>
        <v>-1278.5199999999995</v>
      </c>
    </row>
    <row r="14" spans="1:12" ht="15">
      <c r="A14" s="203">
        <f t="shared" si="3"/>
        <v>11</v>
      </c>
      <c r="B14" s="44" t="s">
        <v>79</v>
      </c>
      <c r="C14" s="58">
        <f aca="true" t="shared" si="6" ref="C14:H14">C13*C7</f>
        <v>471.92</v>
      </c>
      <c r="D14" s="58">
        <f t="shared" si="6"/>
        <v>417.63492</v>
      </c>
      <c r="E14" s="58">
        <f t="shared" si="6"/>
        <v>354.3956</v>
      </c>
      <c r="F14" s="58">
        <f t="shared" si="6"/>
        <v>278.8442</v>
      </c>
      <c r="G14" s="58">
        <f t="shared" si="6"/>
        <v>158.52159999999995</v>
      </c>
      <c r="H14" s="58">
        <f t="shared" si="6"/>
        <v>52.190000000000005</v>
      </c>
      <c r="I14" s="210">
        <f>I13*0.34</f>
        <v>-82.1236</v>
      </c>
      <c r="J14" s="210">
        <f>J13*0.34</f>
        <v>-233.22640000000004</v>
      </c>
      <c r="K14" s="210">
        <f>K13*0.34</f>
        <v>-333.9616</v>
      </c>
      <c r="L14" s="211">
        <f>L13*0.34</f>
        <v>-434.6967999999999</v>
      </c>
    </row>
    <row r="15" spans="1:13" ht="15.75" thickBot="1">
      <c r="A15" s="206">
        <f t="shared" si="3"/>
        <v>12</v>
      </c>
      <c r="B15" s="212" t="s">
        <v>80</v>
      </c>
      <c r="C15" s="213">
        <f aca="true" t="shared" si="7" ref="C15:L15">C13-C14</f>
        <v>916.0799999999999</v>
      </c>
      <c r="D15" s="213">
        <f t="shared" si="7"/>
        <v>810.70308</v>
      </c>
      <c r="E15" s="213">
        <f t="shared" si="7"/>
        <v>687.9443999999999</v>
      </c>
      <c r="F15" s="213">
        <f t="shared" si="7"/>
        <v>541.2857999999999</v>
      </c>
      <c r="G15" s="213">
        <f t="shared" si="7"/>
        <v>307.71839999999986</v>
      </c>
      <c r="H15" s="213">
        <f t="shared" si="7"/>
        <v>101.31</v>
      </c>
      <c r="I15" s="213">
        <f t="shared" si="7"/>
        <v>-159.41639999999995</v>
      </c>
      <c r="J15" s="213">
        <f t="shared" si="7"/>
        <v>-452.7336</v>
      </c>
      <c r="K15" s="213">
        <f t="shared" si="7"/>
        <v>-648.2783999999998</v>
      </c>
      <c r="L15" s="214">
        <f t="shared" si="7"/>
        <v>-843.8231999999996</v>
      </c>
      <c r="M15" s="193"/>
    </row>
    <row r="16" spans="1:12" ht="15">
      <c r="A16" s="203">
        <f t="shared" si="3"/>
        <v>13</v>
      </c>
      <c r="B16" s="44" t="s">
        <v>81</v>
      </c>
      <c r="C16" s="58">
        <f aca="true" t="shared" si="8" ref="C16:L16">C11</f>
        <v>675</v>
      </c>
      <c r="D16" s="58">
        <f t="shared" si="8"/>
        <v>675</v>
      </c>
      <c r="E16" s="58">
        <f t="shared" si="8"/>
        <v>675</v>
      </c>
      <c r="F16" s="58">
        <f t="shared" si="8"/>
        <v>675</v>
      </c>
      <c r="G16" s="58">
        <f t="shared" si="8"/>
        <v>675</v>
      </c>
      <c r="H16" s="58">
        <f t="shared" si="8"/>
        <v>675</v>
      </c>
      <c r="I16" s="58">
        <f t="shared" si="8"/>
        <v>675</v>
      </c>
      <c r="J16" s="58">
        <f t="shared" si="8"/>
        <v>675</v>
      </c>
      <c r="K16" s="58">
        <f t="shared" si="8"/>
        <v>675</v>
      </c>
      <c r="L16" s="84">
        <f t="shared" si="8"/>
        <v>675</v>
      </c>
    </row>
    <row r="17" spans="1:12" ht="15">
      <c r="A17" s="203">
        <f t="shared" si="3"/>
        <v>14</v>
      </c>
      <c r="B17" s="44" t="s">
        <v>82</v>
      </c>
      <c r="C17" s="58">
        <v>800</v>
      </c>
      <c r="D17" s="58">
        <v>800</v>
      </c>
      <c r="E17" s="58">
        <v>800</v>
      </c>
      <c r="F17" s="58">
        <v>800</v>
      </c>
      <c r="G17" s="58">
        <v>800</v>
      </c>
      <c r="H17" s="58">
        <v>800</v>
      </c>
      <c r="I17" s="58">
        <v>800</v>
      </c>
      <c r="J17" s="58">
        <v>800</v>
      </c>
      <c r="K17" s="58">
        <v>800</v>
      </c>
      <c r="L17" s="84">
        <v>800</v>
      </c>
    </row>
    <row r="18" spans="1:12" ht="15">
      <c r="A18" s="203">
        <f t="shared" si="3"/>
        <v>15</v>
      </c>
      <c r="B18" s="44" t="s">
        <v>83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84">
        <v>0</v>
      </c>
    </row>
    <row r="19" spans="1:12" ht="15">
      <c r="A19" s="203">
        <f t="shared" si="3"/>
        <v>16</v>
      </c>
      <c r="B19" s="44" t="s">
        <v>84</v>
      </c>
      <c r="C19" s="58">
        <f>C5*C22</f>
        <v>0</v>
      </c>
      <c r="D19" s="58">
        <f aca="true" t="shared" si="9" ref="D19:L19">D5*D22</f>
        <v>145.8356</v>
      </c>
      <c r="E19" s="58">
        <f t="shared" si="9"/>
        <v>291.67120000000006</v>
      </c>
      <c r="F19" s="58">
        <f t="shared" si="9"/>
        <v>437.50680000000006</v>
      </c>
      <c r="G19" s="58">
        <f t="shared" si="9"/>
        <v>583.3424000000001</v>
      </c>
      <c r="H19" s="58">
        <f t="shared" si="9"/>
        <v>729.178</v>
      </c>
      <c r="I19" s="58">
        <f t="shared" si="9"/>
        <v>875.0136</v>
      </c>
      <c r="J19" s="58">
        <f t="shared" si="9"/>
        <v>1020.8492</v>
      </c>
      <c r="K19" s="58">
        <f t="shared" si="9"/>
        <v>1166.6847999999998</v>
      </c>
      <c r="L19" s="84">
        <f t="shared" si="9"/>
        <v>1312.5203999999999</v>
      </c>
    </row>
    <row r="20" spans="1:13" ht="15">
      <c r="A20" s="203">
        <f t="shared" si="3"/>
        <v>17</v>
      </c>
      <c r="B20" s="40" t="s">
        <v>85</v>
      </c>
      <c r="C20" s="210">
        <f>C15+C16-C17-C18+C19</f>
        <v>791.0799999999999</v>
      </c>
      <c r="D20" s="210">
        <f aca="true" t="shared" si="10" ref="D20:L20">D15+D16-D17-D18+D19</f>
        <v>831.53868</v>
      </c>
      <c r="E20" s="210">
        <f t="shared" si="10"/>
        <v>854.6155999999999</v>
      </c>
      <c r="F20" s="210">
        <f t="shared" si="10"/>
        <v>853.7926</v>
      </c>
      <c r="G20" s="210">
        <f t="shared" si="10"/>
        <v>766.0608</v>
      </c>
      <c r="H20" s="210">
        <f t="shared" si="10"/>
        <v>705.4879999999999</v>
      </c>
      <c r="I20" s="210">
        <f t="shared" si="10"/>
        <v>590.5972</v>
      </c>
      <c r="J20" s="210">
        <f t="shared" si="10"/>
        <v>443.1156</v>
      </c>
      <c r="K20" s="210">
        <f t="shared" si="10"/>
        <v>393.40639999999996</v>
      </c>
      <c r="L20" s="211">
        <f t="shared" si="10"/>
        <v>343.6972000000003</v>
      </c>
      <c r="M20" s="193"/>
    </row>
    <row r="21" spans="1:13" ht="15">
      <c r="A21" s="203">
        <f t="shared" si="3"/>
        <v>18</v>
      </c>
      <c r="B21" s="40" t="s">
        <v>86</v>
      </c>
      <c r="C21" s="210">
        <f>C20</f>
        <v>791.0799999999999</v>
      </c>
      <c r="D21" s="210">
        <f aca="true" t="shared" si="11" ref="D21:L21">C21</f>
        <v>791.0799999999999</v>
      </c>
      <c r="E21" s="210">
        <f t="shared" si="11"/>
        <v>791.0799999999999</v>
      </c>
      <c r="F21" s="210">
        <f t="shared" si="11"/>
        <v>791.0799999999999</v>
      </c>
      <c r="G21" s="210">
        <f t="shared" si="11"/>
        <v>791.0799999999999</v>
      </c>
      <c r="H21" s="210">
        <f t="shared" si="11"/>
        <v>791.0799999999999</v>
      </c>
      <c r="I21" s="210">
        <f t="shared" si="11"/>
        <v>791.0799999999999</v>
      </c>
      <c r="J21" s="210">
        <f t="shared" si="11"/>
        <v>791.0799999999999</v>
      </c>
      <c r="K21" s="210">
        <f t="shared" si="11"/>
        <v>791.0799999999999</v>
      </c>
      <c r="L21" s="211">
        <f t="shared" si="11"/>
        <v>791.0799999999999</v>
      </c>
      <c r="M21" s="193"/>
    </row>
    <row r="22" spans="1:12" ht="15.75" thickBot="1">
      <c r="A22" s="206">
        <f t="shared" si="3"/>
        <v>19</v>
      </c>
      <c r="B22" s="46" t="s">
        <v>87</v>
      </c>
      <c r="C22" s="215">
        <v>0.0886</v>
      </c>
      <c r="D22" s="215">
        <v>0.0886</v>
      </c>
      <c r="E22" s="215">
        <v>0.0886</v>
      </c>
      <c r="F22" s="215">
        <v>0.0886</v>
      </c>
      <c r="G22" s="215">
        <v>0.0886</v>
      </c>
      <c r="H22" s="215">
        <v>0.0886</v>
      </c>
      <c r="I22" s="215">
        <v>0.0886</v>
      </c>
      <c r="J22" s="215">
        <v>0.0886</v>
      </c>
      <c r="K22" s="215">
        <v>0.0886</v>
      </c>
      <c r="L22" s="216">
        <v>0.0886</v>
      </c>
    </row>
    <row r="24" ht="15">
      <c r="B24" s="15" t="s">
        <v>88</v>
      </c>
    </row>
    <row r="25" ht="15.75" thickBot="1">
      <c r="B25" s="28" t="s">
        <v>156</v>
      </c>
    </row>
    <row r="26" spans="1:13" ht="15.75" thickBot="1">
      <c r="A26" s="217"/>
      <c r="B26" s="201" t="s">
        <v>69</v>
      </c>
      <c r="C26" s="201">
        <v>0</v>
      </c>
      <c r="D26" s="201">
        <f aca="true" t="shared" si="12" ref="D26:L26">C26+0.1</f>
        <v>0.1</v>
      </c>
      <c r="E26" s="201">
        <f t="shared" si="12"/>
        <v>0.2</v>
      </c>
      <c r="F26" s="201">
        <f t="shared" si="12"/>
        <v>0.30000000000000004</v>
      </c>
      <c r="G26" s="201">
        <f t="shared" si="12"/>
        <v>0.4</v>
      </c>
      <c r="H26" s="201">
        <f t="shared" si="12"/>
        <v>0.5</v>
      </c>
      <c r="I26" s="201">
        <f t="shared" si="12"/>
        <v>0.6</v>
      </c>
      <c r="J26" s="201">
        <f t="shared" si="12"/>
        <v>0.7</v>
      </c>
      <c r="K26" s="201">
        <f t="shared" si="12"/>
        <v>0.7999999999999999</v>
      </c>
      <c r="L26" s="202">
        <f t="shared" si="12"/>
        <v>0.8999999999999999</v>
      </c>
      <c r="M26" s="195"/>
    </row>
    <row r="27" spans="1:13" ht="15">
      <c r="A27" s="218">
        <f>A22+1</f>
        <v>20</v>
      </c>
      <c r="B27" s="185" t="s">
        <v>89</v>
      </c>
      <c r="C27" s="219">
        <f aca="true" t="shared" si="13" ref="C27:L27">C8*(1+(1-C7)*C4)</f>
        <v>0.94</v>
      </c>
      <c r="D27" s="220">
        <f t="shared" si="13"/>
        <v>1.0089333333333332</v>
      </c>
      <c r="E27" s="220">
        <f t="shared" si="13"/>
        <v>1.0951</v>
      </c>
      <c r="F27" s="220">
        <f t="shared" si="13"/>
        <v>1.2058857142857142</v>
      </c>
      <c r="G27" s="220">
        <f t="shared" si="13"/>
        <v>1.3536</v>
      </c>
      <c r="H27" s="220">
        <f t="shared" si="13"/>
        <v>1.5603999999999998</v>
      </c>
      <c r="I27" s="220">
        <f t="shared" si="13"/>
        <v>1.9416639999999998</v>
      </c>
      <c r="J27" s="220">
        <f t="shared" si="13"/>
        <v>2.634130666666666</v>
      </c>
      <c r="K27" s="220">
        <f t="shared" si="13"/>
        <v>3.951383999999998</v>
      </c>
      <c r="L27" s="221">
        <f t="shared" si="13"/>
        <v>7.902579999999993</v>
      </c>
      <c r="M27" s="198"/>
    </row>
    <row r="28" spans="1:13" ht="15">
      <c r="A28" s="222">
        <f aca="true" t="shared" si="14" ref="A28:A33">A27+1</f>
        <v>21</v>
      </c>
      <c r="B28" s="185" t="s">
        <v>90</v>
      </c>
      <c r="C28" s="223">
        <v>0.055</v>
      </c>
      <c r="D28" s="223">
        <v>0.055</v>
      </c>
      <c r="E28" s="223">
        <v>0.055</v>
      </c>
      <c r="F28" s="223">
        <v>0.055</v>
      </c>
      <c r="G28" s="223">
        <v>0.055</v>
      </c>
      <c r="H28" s="223">
        <v>0.055</v>
      </c>
      <c r="I28" s="223">
        <v>0.055</v>
      </c>
      <c r="J28" s="223">
        <v>0.055</v>
      </c>
      <c r="K28" s="223">
        <v>0.055</v>
      </c>
      <c r="L28" s="224">
        <v>0.055</v>
      </c>
      <c r="M28" s="198"/>
    </row>
    <row r="29" spans="1:13" ht="15.75">
      <c r="A29" s="222">
        <f t="shared" si="14"/>
        <v>22</v>
      </c>
      <c r="B29" s="185" t="s">
        <v>157</v>
      </c>
      <c r="C29" s="223">
        <v>0.09</v>
      </c>
      <c r="D29" s="223">
        <v>0.09</v>
      </c>
      <c r="E29" s="223">
        <v>0.09</v>
      </c>
      <c r="F29" s="223">
        <v>0.09</v>
      </c>
      <c r="G29" s="223">
        <v>0.09</v>
      </c>
      <c r="H29" s="223">
        <v>0.09</v>
      </c>
      <c r="I29" s="223">
        <v>0.09</v>
      </c>
      <c r="J29" s="223">
        <v>0.09</v>
      </c>
      <c r="K29" s="223">
        <v>0.09</v>
      </c>
      <c r="L29" s="224">
        <v>0.09</v>
      </c>
      <c r="M29" s="198"/>
    </row>
    <row r="30" spans="1:13" ht="15">
      <c r="A30" s="222">
        <f t="shared" si="14"/>
        <v>23</v>
      </c>
      <c r="B30" s="225" t="s">
        <v>158</v>
      </c>
      <c r="C30" s="226">
        <f>C29+C28*C27</f>
        <v>0.1417</v>
      </c>
      <c r="D30" s="226">
        <f aca="true" t="shared" si="15" ref="D30:L30">D29+D28*D27</f>
        <v>0.14549133333333333</v>
      </c>
      <c r="E30" s="226">
        <f t="shared" si="15"/>
        <v>0.1502305</v>
      </c>
      <c r="F30" s="226">
        <f t="shared" si="15"/>
        <v>0.1563237142857143</v>
      </c>
      <c r="G30" s="226">
        <f t="shared" si="15"/>
        <v>0.16444799999999998</v>
      </c>
      <c r="H30" s="226">
        <f t="shared" si="15"/>
        <v>0.17582199999999998</v>
      </c>
      <c r="I30" s="226">
        <f t="shared" si="15"/>
        <v>0.19679152</v>
      </c>
      <c r="J30" s="226">
        <f t="shared" si="15"/>
        <v>0.23487718666666663</v>
      </c>
      <c r="K30" s="226">
        <f t="shared" si="15"/>
        <v>0.30732611999999987</v>
      </c>
      <c r="L30" s="227">
        <f t="shared" si="15"/>
        <v>0.5246418999999997</v>
      </c>
      <c r="M30" s="199"/>
    </row>
    <row r="31" spans="1:13" ht="15">
      <c r="A31" s="222">
        <f t="shared" si="14"/>
        <v>24</v>
      </c>
      <c r="B31" s="225" t="s">
        <v>91</v>
      </c>
      <c r="C31" s="226">
        <f>C6*(1-C7)*C3+C30*(1-C3)</f>
        <v>0.1417</v>
      </c>
      <c r="D31" s="226">
        <f aca="true" t="shared" si="16" ref="D31:L31">INT((D6*(1-D7)*D3+D30*(1-D3))*10000)/10000</f>
        <v>0.1373</v>
      </c>
      <c r="E31" s="226">
        <f t="shared" si="16"/>
        <v>0.134</v>
      </c>
      <c r="F31" s="226">
        <f t="shared" si="16"/>
        <v>0.1321</v>
      </c>
      <c r="G31" s="226">
        <f t="shared" si="16"/>
        <v>0.1356</v>
      </c>
      <c r="H31" s="226">
        <f t="shared" si="16"/>
        <v>0.1374</v>
      </c>
      <c r="I31" s="226">
        <f t="shared" si="16"/>
        <v>0.149</v>
      </c>
      <c r="J31" s="226">
        <f t="shared" si="16"/>
        <v>0.1677</v>
      </c>
      <c r="K31" s="226">
        <f t="shared" si="16"/>
        <v>0.1767</v>
      </c>
      <c r="L31" s="226">
        <f t="shared" si="16"/>
        <v>0.1857</v>
      </c>
      <c r="M31" s="199"/>
    </row>
    <row r="32" spans="1:13" ht="15">
      <c r="A32" s="222">
        <f t="shared" si="14"/>
        <v>25</v>
      </c>
      <c r="B32" s="185" t="s">
        <v>159</v>
      </c>
      <c r="C32" s="186">
        <f aca="true" t="shared" si="17" ref="C32:L32">C21*(1+C22)/(C31-C22)</f>
        <v>16217.884896421847</v>
      </c>
      <c r="D32" s="186">
        <f t="shared" si="17"/>
        <v>17683.15581108829</v>
      </c>
      <c r="E32" s="186">
        <f t="shared" si="17"/>
        <v>18968.495330396472</v>
      </c>
      <c r="F32" s="186">
        <f t="shared" si="17"/>
        <v>19797.004321839082</v>
      </c>
      <c r="G32" s="186">
        <f t="shared" si="17"/>
        <v>18322.759319148936</v>
      </c>
      <c r="H32" s="186">
        <f t="shared" si="17"/>
        <v>17646.919836065576</v>
      </c>
      <c r="I32" s="186">
        <f t="shared" si="17"/>
        <v>14257.776291390728</v>
      </c>
      <c r="J32" s="186">
        <f t="shared" si="17"/>
        <v>10887.100986093554</v>
      </c>
      <c r="K32" s="186">
        <f t="shared" si="17"/>
        <v>9774.911328036322</v>
      </c>
      <c r="L32" s="187">
        <f t="shared" si="17"/>
        <v>8868.89483007209</v>
      </c>
      <c r="M32" s="198"/>
    </row>
    <row r="33" spans="1:13" ht="15">
      <c r="A33" s="222">
        <f t="shared" si="14"/>
        <v>26</v>
      </c>
      <c r="B33" s="228" t="s">
        <v>183</v>
      </c>
      <c r="C33" s="229">
        <f aca="true" t="shared" si="18" ref="C33:L33">C32-C5</f>
        <v>16217.884896421847</v>
      </c>
      <c r="D33" s="229">
        <f t="shared" si="18"/>
        <v>16037.15581108829</v>
      </c>
      <c r="E33" s="229">
        <f t="shared" si="18"/>
        <v>15676.495330396472</v>
      </c>
      <c r="F33" s="229">
        <f t="shared" si="18"/>
        <v>14859.004321839082</v>
      </c>
      <c r="G33" s="229">
        <f t="shared" si="18"/>
        <v>11738.759319148936</v>
      </c>
      <c r="H33" s="229">
        <f t="shared" si="18"/>
        <v>9416.919836065576</v>
      </c>
      <c r="I33" s="229">
        <f t="shared" si="18"/>
        <v>4381.776291390728</v>
      </c>
      <c r="J33" s="229">
        <f t="shared" si="18"/>
        <v>-634.8990139064463</v>
      </c>
      <c r="K33" s="229">
        <f t="shared" si="18"/>
        <v>-3393.0886719636765</v>
      </c>
      <c r="L33" s="230">
        <f t="shared" si="18"/>
        <v>-5945.105169927909</v>
      </c>
      <c r="M33" s="199"/>
    </row>
    <row r="34" spans="1:13" ht="15">
      <c r="A34" s="231">
        <f>A33+1</f>
        <v>27</v>
      </c>
      <c r="B34" s="232" t="s">
        <v>160</v>
      </c>
      <c r="C34" s="233">
        <f aca="true" t="shared" si="19" ref="C34:L34">C20*(1+C22)/(C30-C22)</f>
        <v>16217.884896421847</v>
      </c>
      <c r="D34" s="233">
        <f t="shared" si="19"/>
        <v>15911.263702403412</v>
      </c>
      <c r="E34" s="233">
        <f t="shared" si="19"/>
        <v>15095.359313327004</v>
      </c>
      <c r="F34" s="233">
        <f t="shared" si="19"/>
        <v>13723.975924280583</v>
      </c>
      <c r="G34" s="233">
        <f t="shared" si="19"/>
        <v>10994.802590444047</v>
      </c>
      <c r="H34" s="233">
        <f t="shared" si="19"/>
        <v>8805.051899750064</v>
      </c>
      <c r="I34" s="233">
        <f t="shared" si="19"/>
        <v>5942.463068454904</v>
      </c>
      <c r="J34" s="233">
        <f t="shared" si="19"/>
        <v>3297.6819772944327</v>
      </c>
      <c r="K34" s="233">
        <f t="shared" si="19"/>
        <v>1957.983834029517</v>
      </c>
      <c r="L34" s="234">
        <f t="shared" si="19"/>
        <v>858.0569250799078</v>
      </c>
      <c r="M34" s="199"/>
    </row>
    <row r="35" spans="2:12" ht="15.75" thickBot="1">
      <c r="B35" s="46" t="s">
        <v>161</v>
      </c>
      <c r="C35" s="46"/>
      <c r="D35" s="60"/>
      <c r="E35" s="46"/>
      <c r="F35" s="46"/>
      <c r="G35" s="46"/>
      <c r="H35" s="46"/>
      <c r="I35" s="46"/>
      <c r="J35" s="46"/>
      <c r="K35" s="46"/>
      <c r="L35" s="46"/>
    </row>
    <row r="36" spans="2:12" ht="15">
      <c r="B36" s="44"/>
      <c r="C36" s="44"/>
      <c r="D36" s="58"/>
      <c r="E36" s="44"/>
      <c r="F36" s="44"/>
      <c r="G36" s="44"/>
      <c r="H36" s="44"/>
      <c r="I36" s="44"/>
      <c r="J36" s="44"/>
      <c r="K36" s="44"/>
      <c r="L36" s="44"/>
    </row>
    <row r="37" spans="2:12" ht="15">
      <c r="B37" s="44"/>
      <c r="C37" s="44"/>
      <c r="D37" s="58"/>
      <c r="E37" s="44"/>
      <c r="F37" s="44"/>
      <c r="G37" s="44"/>
      <c r="H37" s="44"/>
      <c r="I37" s="44"/>
      <c r="J37" s="44"/>
      <c r="K37" s="44"/>
      <c r="L37" s="44"/>
    </row>
    <row r="38" spans="2:12" ht="15">
      <c r="B38" s="44"/>
      <c r="C38" s="44"/>
      <c r="D38" s="58"/>
      <c r="E38" s="44"/>
      <c r="F38" s="44"/>
      <c r="G38" s="44"/>
      <c r="H38" s="44"/>
      <c r="I38" s="44"/>
      <c r="J38" s="44"/>
      <c r="K38" s="44"/>
      <c r="L38" s="44"/>
    </row>
    <row r="39" spans="2:12" ht="15">
      <c r="B39" s="44"/>
      <c r="C39" s="44"/>
      <c r="D39" s="58"/>
      <c r="E39" s="44"/>
      <c r="F39" s="44"/>
      <c r="G39" s="44"/>
      <c r="H39" s="44"/>
      <c r="I39" s="44"/>
      <c r="J39" s="44"/>
      <c r="K39" s="44"/>
      <c r="L39" s="44"/>
    </row>
    <row r="40" spans="2:12" ht="15">
      <c r="B40" s="44"/>
      <c r="C40" s="44"/>
      <c r="D40" s="58"/>
      <c r="E40" s="44"/>
      <c r="F40" s="44"/>
      <c r="G40" s="44"/>
      <c r="H40" s="44"/>
      <c r="I40" s="44"/>
      <c r="J40" s="44"/>
      <c r="K40" s="44"/>
      <c r="L40" s="44"/>
    </row>
    <row r="41" ht="15.75" thickBot="1"/>
    <row r="42" spans="2:6" ht="15.75" thickBot="1">
      <c r="B42" s="235" t="s">
        <v>162</v>
      </c>
      <c r="C42" s="55"/>
      <c r="D42" s="55"/>
      <c r="E42" s="55"/>
      <c r="F42" s="236"/>
    </row>
    <row r="43" ht="15.75" thickBot="1"/>
    <row r="44" spans="1:13" ht="15.75" thickBot="1">
      <c r="A44" s="217"/>
      <c r="B44" s="201" t="s">
        <v>69</v>
      </c>
      <c r="C44" s="201">
        <v>0</v>
      </c>
      <c r="D44" s="201">
        <f aca="true" t="shared" si="20" ref="D44:L44">C44+0.1</f>
        <v>0.1</v>
      </c>
      <c r="E44" s="201">
        <f t="shared" si="20"/>
        <v>0.2</v>
      </c>
      <c r="F44" s="201">
        <f t="shared" si="20"/>
        <v>0.30000000000000004</v>
      </c>
      <c r="G44" s="201">
        <f t="shared" si="20"/>
        <v>0.4</v>
      </c>
      <c r="H44" s="201">
        <f t="shared" si="20"/>
        <v>0.5</v>
      </c>
      <c r="I44" s="201">
        <f t="shared" si="20"/>
        <v>0.6</v>
      </c>
      <c r="J44" s="201">
        <f t="shared" si="20"/>
        <v>0.7</v>
      </c>
      <c r="K44" s="201">
        <f t="shared" si="20"/>
        <v>0.7999999999999999</v>
      </c>
      <c r="L44" s="202">
        <f t="shared" si="20"/>
        <v>0.8999999999999999</v>
      </c>
      <c r="M44" s="195"/>
    </row>
    <row r="45" spans="1:12" ht="15">
      <c r="A45" s="237">
        <v>9</v>
      </c>
      <c r="B45" s="44" t="str">
        <f>B53</f>
        <v>Interest**</v>
      </c>
      <c r="C45" s="238">
        <f aca="true" t="shared" si="21" ref="C45:L45">C53</f>
        <v>0</v>
      </c>
      <c r="D45" s="238">
        <f t="shared" si="21"/>
        <v>146.66727907404007</v>
      </c>
      <c r="E45" s="238">
        <f t="shared" si="21"/>
        <v>317.5270990262723</v>
      </c>
      <c r="F45" s="238">
        <f t="shared" si="21"/>
        <v>521.6516626860189</v>
      </c>
      <c r="G45" s="238">
        <f t="shared" si="21"/>
        <v>846.7389307367263</v>
      </c>
      <c r="H45" s="238">
        <f t="shared" si="21"/>
        <v>1134.025353665258</v>
      </c>
      <c r="I45" s="238">
        <f t="shared" si="21"/>
        <v>1496.9134668381407</v>
      </c>
      <c r="J45" s="238">
        <f t="shared" si="21"/>
        <v>1905.1625941576337</v>
      </c>
      <c r="K45" s="238">
        <f t="shared" si="21"/>
        <v>2177.3286790372954</v>
      </c>
      <c r="L45" s="239">
        <f t="shared" si="21"/>
        <v>2449.4947639169573</v>
      </c>
    </row>
    <row r="46" spans="1:12" ht="15">
      <c r="A46" s="237">
        <v>16</v>
      </c>
      <c r="B46" s="44" t="str">
        <f>B60</f>
        <v> + Increase of debt</v>
      </c>
      <c r="C46" s="238">
        <f aca="true" t="shared" si="22" ref="C46:L47">C60</f>
        <v>0</v>
      </c>
      <c r="D46" s="238">
        <f t="shared" si="22"/>
        <v>133.96619511298914</v>
      </c>
      <c r="E46" s="238">
        <f t="shared" si="22"/>
        <v>267.93239022597834</v>
      </c>
      <c r="F46" s="238">
        <f t="shared" si="22"/>
        <v>401.89858533896756</v>
      </c>
      <c r="G46" s="238">
        <f t="shared" si="22"/>
        <v>535.8647804519567</v>
      </c>
      <c r="H46" s="238">
        <f t="shared" si="22"/>
        <v>669.8309755649458</v>
      </c>
      <c r="I46" s="238">
        <f t="shared" si="22"/>
        <v>803.7971706779349</v>
      </c>
      <c r="J46" s="238">
        <f t="shared" si="22"/>
        <v>937.763365790924</v>
      </c>
      <c r="K46" s="238">
        <f t="shared" si="22"/>
        <v>1071.7295609039131</v>
      </c>
      <c r="L46" s="239">
        <f t="shared" si="22"/>
        <v>1205.6957560169021</v>
      </c>
    </row>
    <row r="47" spans="1:12" ht="15">
      <c r="A47" s="240">
        <v>17</v>
      </c>
      <c r="B47" s="100" t="str">
        <f>B61</f>
        <v>Equity cash flow, ECF</v>
      </c>
      <c r="C47" s="241">
        <f t="shared" si="22"/>
        <v>791.0799999999999</v>
      </c>
      <c r="D47" s="241">
        <f t="shared" si="22"/>
        <v>828.2457909241226</v>
      </c>
      <c r="E47" s="241">
        <f t="shared" si="22"/>
        <v>849.4445048686385</v>
      </c>
      <c r="F47" s="241">
        <f t="shared" si="22"/>
        <v>848.6884879661951</v>
      </c>
      <c r="G47" s="241">
        <f t="shared" si="22"/>
        <v>768.0970861657172</v>
      </c>
      <c r="H47" s="241">
        <f t="shared" si="22"/>
        <v>712.4542421458755</v>
      </c>
      <c r="I47" s="241">
        <f t="shared" si="22"/>
        <v>606.9142825647621</v>
      </c>
      <c r="J47" s="241">
        <f t="shared" si="22"/>
        <v>471.43605364688574</v>
      </c>
      <c r="K47" s="241">
        <f t="shared" si="22"/>
        <v>425.77263273929816</v>
      </c>
      <c r="L47" s="242">
        <f t="shared" si="22"/>
        <v>380.10921183171035</v>
      </c>
    </row>
    <row r="50" ht="15">
      <c r="B50" s="243" t="s">
        <v>155</v>
      </c>
    </row>
    <row r="51" spans="1:12" ht="15">
      <c r="A51" s="244">
        <f>A34+1</f>
        <v>28</v>
      </c>
      <c r="B51" s="29" t="s">
        <v>163</v>
      </c>
      <c r="C51" s="106">
        <v>2063</v>
      </c>
      <c r="D51" s="106">
        <v>2063</v>
      </c>
      <c r="E51" s="106">
        <v>2063</v>
      </c>
      <c r="F51" s="106">
        <v>2063</v>
      </c>
      <c r="G51" s="106">
        <v>2063</v>
      </c>
      <c r="H51" s="106">
        <v>2063</v>
      </c>
      <c r="I51" s="106">
        <v>2063</v>
      </c>
      <c r="J51" s="106">
        <v>2063</v>
      </c>
      <c r="K51" s="106">
        <v>2063</v>
      </c>
      <c r="L51" s="106">
        <v>2063</v>
      </c>
    </row>
    <row r="52" spans="1:12" ht="15">
      <c r="A52" s="244">
        <f aca="true" t="shared" si="23" ref="A52:A63">A51+1</f>
        <v>29</v>
      </c>
      <c r="B52" s="29" t="s">
        <v>76</v>
      </c>
      <c r="C52" s="106">
        <v>675</v>
      </c>
      <c r="D52" s="106">
        <v>675</v>
      </c>
      <c r="E52" s="106">
        <v>675</v>
      </c>
      <c r="F52" s="106">
        <v>675</v>
      </c>
      <c r="G52" s="106">
        <v>675</v>
      </c>
      <c r="H52" s="106">
        <v>675</v>
      </c>
      <c r="I52" s="106">
        <v>675</v>
      </c>
      <c r="J52" s="106">
        <v>675</v>
      </c>
      <c r="K52" s="106">
        <v>675</v>
      </c>
      <c r="L52" s="106">
        <v>675</v>
      </c>
    </row>
    <row r="53" spans="1:12" ht="15">
      <c r="A53" s="244">
        <f t="shared" si="23"/>
        <v>30</v>
      </c>
      <c r="B53" s="28" t="s">
        <v>77</v>
      </c>
      <c r="C53" s="106">
        <f>C65*C68/(1+C63)</f>
        <v>0</v>
      </c>
      <c r="D53" s="106">
        <f aca="true" t="shared" si="24" ref="D53:L53">D65*D68/(1+D63)</f>
        <v>146.66727907404007</v>
      </c>
      <c r="E53" s="106">
        <f t="shared" si="24"/>
        <v>317.5270990262723</v>
      </c>
      <c r="F53" s="106">
        <f t="shared" si="24"/>
        <v>521.6516626860189</v>
      </c>
      <c r="G53" s="106">
        <f t="shared" si="24"/>
        <v>846.7389307367263</v>
      </c>
      <c r="H53" s="106">
        <f t="shared" si="24"/>
        <v>1134.025353665258</v>
      </c>
      <c r="I53" s="106">
        <f t="shared" si="24"/>
        <v>1496.9134668381407</v>
      </c>
      <c r="J53" s="106">
        <f t="shared" si="24"/>
        <v>1905.1625941576337</v>
      </c>
      <c r="K53" s="106">
        <f t="shared" si="24"/>
        <v>2177.3286790372954</v>
      </c>
      <c r="L53" s="106">
        <f t="shared" si="24"/>
        <v>2449.4947639169573</v>
      </c>
    </row>
    <row r="54" spans="1:12" ht="15">
      <c r="A54" s="244">
        <f t="shared" si="23"/>
        <v>31</v>
      </c>
      <c r="B54" s="29" t="s">
        <v>164</v>
      </c>
      <c r="C54" s="106">
        <f aca="true" t="shared" si="25" ref="C54:L54">C51-C52-C53</f>
        <v>1388</v>
      </c>
      <c r="D54" s="106">
        <f t="shared" si="25"/>
        <v>1241.3327209259598</v>
      </c>
      <c r="E54" s="106">
        <f t="shared" si="25"/>
        <v>1070.4729009737277</v>
      </c>
      <c r="F54" s="106">
        <f t="shared" si="25"/>
        <v>866.3483373139811</v>
      </c>
      <c r="G54" s="106">
        <f t="shared" si="25"/>
        <v>541.2610692632737</v>
      </c>
      <c r="H54" s="106">
        <f t="shared" si="25"/>
        <v>253.97464633474192</v>
      </c>
      <c r="I54" s="106">
        <f t="shared" si="25"/>
        <v>-108.91346683814072</v>
      </c>
      <c r="J54" s="106">
        <f t="shared" si="25"/>
        <v>-517.1625941576337</v>
      </c>
      <c r="K54" s="106">
        <f t="shared" si="25"/>
        <v>-789.3286790372954</v>
      </c>
      <c r="L54" s="106">
        <f t="shared" si="25"/>
        <v>-1061.4947639169573</v>
      </c>
    </row>
    <row r="55" spans="1:12" ht="15">
      <c r="A55" s="244">
        <f t="shared" si="23"/>
        <v>32</v>
      </c>
      <c r="B55" s="29" t="s">
        <v>165</v>
      </c>
      <c r="C55" s="106">
        <f>C54*C69</f>
        <v>471.92</v>
      </c>
      <c r="D55" s="106">
        <f aca="true" t="shared" si="26" ref="D55:L55">D54*D69</f>
        <v>422.0531251148264</v>
      </c>
      <c r="E55" s="106">
        <f t="shared" si="26"/>
        <v>363.9607863310675</v>
      </c>
      <c r="F55" s="106">
        <f t="shared" si="26"/>
        <v>294.5584346867536</v>
      </c>
      <c r="G55" s="106">
        <f t="shared" si="26"/>
        <v>184.0287635495131</v>
      </c>
      <c r="H55" s="106">
        <f t="shared" si="26"/>
        <v>86.35137975381225</v>
      </c>
      <c r="I55" s="106">
        <f t="shared" si="26"/>
        <v>-37.030578724967846</v>
      </c>
      <c r="J55" s="106">
        <f t="shared" si="26"/>
        <v>-175.83528201359547</v>
      </c>
      <c r="K55" s="106">
        <f t="shared" si="26"/>
        <v>-268.3717508726804</v>
      </c>
      <c r="L55" s="106">
        <f t="shared" si="26"/>
        <v>-360.9082197317655</v>
      </c>
    </row>
    <row r="56" spans="1:13" ht="15">
      <c r="A56" s="244">
        <f t="shared" si="23"/>
        <v>33</v>
      </c>
      <c r="B56" s="28" t="s">
        <v>166</v>
      </c>
      <c r="C56" s="245">
        <f aca="true" t="shared" si="27" ref="C56:L56">C54-C55</f>
        <v>916.0799999999999</v>
      </c>
      <c r="D56" s="245">
        <f t="shared" si="27"/>
        <v>819.2795958111335</v>
      </c>
      <c r="E56" s="245">
        <f t="shared" si="27"/>
        <v>706.5121146426602</v>
      </c>
      <c r="F56" s="245">
        <f t="shared" si="27"/>
        <v>571.7899026272275</v>
      </c>
      <c r="G56" s="245">
        <f t="shared" si="27"/>
        <v>357.23230571376064</v>
      </c>
      <c r="H56" s="245">
        <f t="shared" si="27"/>
        <v>167.62326658092968</v>
      </c>
      <c r="I56" s="245">
        <f t="shared" si="27"/>
        <v>-71.88288811317287</v>
      </c>
      <c r="J56" s="245">
        <f t="shared" si="27"/>
        <v>-341.3273121440383</v>
      </c>
      <c r="K56" s="245">
        <f t="shared" si="27"/>
        <v>-520.956928164615</v>
      </c>
      <c r="L56" s="245">
        <f t="shared" si="27"/>
        <v>-700.5865441851918</v>
      </c>
      <c r="M56" s="193"/>
    </row>
    <row r="57" spans="1:12" ht="15">
      <c r="A57" s="244">
        <f t="shared" si="23"/>
        <v>34</v>
      </c>
      <c r="B57" s="29" t="s">
        <v>167</v>
      </c>
      <c r="C57" s="106">
        <f aca="true" t="shared" si="28" ref="C57:L57">C52</f>
        <v>675</v>
      </c>
      <c r="D57" s="106">
        <f t="shared" si="28"/>
        <v>675</v>
      </c>
      <c r="E57" s="106">
        <f t="shared" si="28"/>
        <v>675</v>
      </c>
      <c r="F57" s="106">
        <f t="shared" si="28"/>
        <v>675</v>
      </c>
      <c r="G57" s="106">
        <f t="shared" si="28"/>
        <v>675</v>
      </c>
      <c r="H57" s="106">
        <f t="shared" si="28"/>
        <v>675</v>
      </c>
      <c r="I57" s="106">
        <f t="shared" si="28"/>
        <v>675</v>
      </c>
      <c r="J57" s="106">
        <f t="shared" si="28"/>
        <v>675</v>
      </c>
      <c r="K57" s="106">
        <f t="shared" si="28"/>
        <v>675</v>
      </c>
      <c r="L57" s="106">
        <f t="shared" si="28"/>
        <v>675</v>
      </c>
    </row>
    <row r="58" spans="1:12" ht="15">
      <c r="A58" s="244">
        <f t="shared" si="23"/>
        <v>35</v>
      </c>
      <c r="B58" s="29" t="s">
        <v>168</v>
      </c>
      <c r="C58" s="106">
        <v>800</v>
      </c>
      <c r="D58" s="106">
        <v>800</v>
      </c>
      <c r="E58" s="106">
        <v>800</v>
      </c>
      <c r="F58" s="106">
        <v>800</v>
      </c>
      <c r="G58" s="106">
        <v>800</v>
      </c>
      <c r="H58" s="106">
        <v>800</v>
      </c>
      <c r="I58" s="106">
        <v>800</v>
      </c>
      <c r="J58" s="106">
        <v>800</v>
      </c>
      <c r="K58" s="106">
        <v>800</v>
      </c>
      <c r="L58" s="106">
        <v>800</v>
      </c>
    </row>
    <row r="59" spans="1:12" ht="15">
      <c r="A59" s="244">
        <f t="shared" si="23"/>
        <v>36</v>
      </c>
      <c r="B59" s="29" t="s">
        <v>169</v>
      </c>
      <c r="C59" s="106">
        <v>0</v>
      </c>
      <c r="D59" s="106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</row>
    <row r="60" spans="1:12" ht="15">
      <c r="A60" s="244">
        <f t="shared" si="23"/>
        <v>37</v>
      </c>
      <c r="B60" s="29" t="s">
        <v>170</v>
      </c>
      <c r="C60" s="106">
        <f>C65/(1+C63)*C63</f>
        <v>0</v>
      </c>
      <c r="D60" s="106">
        <f aca="true" t="shared" si="29" ref="D60:L60">D65/(1+D63)*D63</f>
        <v>133.96619511298914</v>
      </c>
      <c r="E60" s="106">
        <f t="shared" si="29"/>
        <v>267.93239022597834</v>
      </c>
      <c r="F60" s="106">
        <f t="shared" si="29"/>
        <v>401.89858533896756</v>
      </c>
      <c r="G60" s="106">
        <f t="shared" si="29"/>
        <v>535.8647804519567</v>
      </c>
      <c r="H60" s="106">
        <f t="shared" si="29"/>
        <v>669.8309755649458</v>
      </c>
      <c r="I60" s="106">
        <f t="shared" si="29"/>
        <v>803.7971706779349</v>
      </c>
      <c r="J60" s="106">
        <f t="shared" si="29"/>
        <v>937.763365790924</v>
      </c>
      <c r="K60" s="106">
        <f t="shared" si="29"/>
        <v>1071.7295609039131</v>
      </c>
      <c r="L60" s="106">
        <f t="shared" si="29"/>
        <v>1205.6957560169021</v>
      </c>
    </row>
    <row r="61" spans="1:13" ht="15">
      <c r="A61" s="244">
        <f t="shared" si="23"/>
        <v>38</v>
      </c>
      <c r="B61" s="28" t="s">
        <v>85</v>
      </c>
      <c r="C61" s="245">
        <f>C56+C57-C58-C59+C60</f>
        <v>791.0799999999999</v>
      </c>
      <c r="D61" s="245">
        <f aca="true" t="shared" si="30" ref="D61:L61">D56+D57-D58-D59+D60</f>
        <v>828.2457909241226</v>
      </c>
      <c r="E61" s="245">
        <f t="shared" si="30"/>
        <v>849.4445048686385</v>
      </c>
      <c r="F61" s="245">
        <f t="shared" si="30"/>
        <v>848.6884879661951</v>
      </c>
      <c r="G61" s="245">
        <f t="shared" si="30"/>
        <v>768.0970861657172</v>
      </c>
      <c r="H61" s="245">
        <f t="shared" si="30"/>
        <v>712.4542421458755</v>
      </c>
      <c r="I61" s="245">
        <f t="shared" si="30"/>
        <v>606.9142825647621</v>
      </c>
      <c r="J61" s="245">
        <f t="shared" si="30"/>
        <v>471.43605364688574</v>
      </c>
      <c r="K61" s="245">
        <f t="shared" si="30"/>
        <v>425.77263273929816</v>
      </c>
      <c r="L61" s="245">
        <f t="shared" si="30"/>
        <v>380.10921183171035</v>
      </c>
      <c r="M61" s="193"/>
    </row>
    <row r="62" spans="1:13" ht="15">
      <c r="A62" s="244">
        <f t="shared" si="23"/>
        <v>39</v>
      </c>
      <c r="B62" s="28" t="s">
        <v>171</v>
      </c>
      <c r="C62" s="245">
        <f>C61</f>
        <v>791.0799999999999</v>
      </c>
      <c r="D62" s="245">
        <f aca="true" t="shared" si="31" ref="D62:L62">C62</f>
        <v>791.0799999999999</v>
      </c>
      <c r="E62" s="245">
        <f t="shared" si="31"/>
        <v>791.0799999999999</v>
      </c>
      <c r="F62" s="245">
        <f t="shared" si="31"/>
        <v>791.0799999999999</v>
      </c>
      <c r="G62" s="245">
        <f t="shared" si="31"/>
        <v>791.0799999999999</v>
      </c>
      <c r="H62" s="245">
        <f t="shared" si="31"/>
        <v>791.0799999999999</v>
      </c>
      <c r="I62" s="245">
        <f t="shared" si="31"/>
        <v>791.0799999999999</v>
      </c>
      <c r="J62" s="245">
        <f t="shared" si="31"/>
        <v>791.0799999999999</v>
      </c>
      <c r="K62" s="245">
        <f t="shared" si="31"/>
        <v>791.0799999999999</v>
      </c>
      <c r="L62" s="245">
        <f t="shared" si="31"/>
        <v>791.0799999999999</v>
      </c>
      <c r="M62" s="193"/>
    </row>
    <row r="63" spans="1:12" ht="15">
      <c r="A63" s="244">
        <f t="shared" si="23"/>
        <v>40</v>
      </c>
      <c r="B63" s="29" t="s">
        <v>172</v>
      </c>
      <c r="C63" s="246">
        <v>0.0886</v>
      </c>
      <c r="D63" s="246">
        <v>0.0886</v>
      </c>
      <c r="E63" s="246">
        <v>0.0886</v>
      </c>
      <c r="F63" s="246">
        <v>0.0886</v>
      </c>
      <c r="G63" s="246">
        <v>0.0886</v>
      </c>
      <c r="H63" s="246">
        <v>0.0886</v>
      </c>
      <c r="I63" s="246">
        <v>0.0886</v>
      </c>
      <c r="J63" s="246">
        <v>0.0886</v>
      </c>
      <c r="K63" s="246">
        <v>0.0886</v>
      </c>
      <c r="L63" s="246">
        <v>0.0886</v>
      </c>
    </row>
    <row r="65" spans="1:12" ht="15">
      <c r="A65" s="244">
        <f>A63+1</f>
        <v>41</v>
      </c>
      <c r="B65" s="29" t="s">
        <v>173</v>
      </c>
      <c r="C65" s="29">
        <f aca="true" t="shared" si="32" ref="C65:L65">C5</f>
        <v>0</v>
      </c>
      <c r="D65" s="29">
        <f t="shared" si="32"/>
        <v>1646</v>
      </c>
      <c r="E65" s="29">
        <f t="shared" si="32"/>
        <v>3292.0000000000005</v>
      </c>
      <c r="F65" s="29">
        <f t="shared" si="32"/>
        <v>4938.000000000001</v>
      </c>
      <c r="G65" s="29">
        <f t="shared" si="32"/>
        <v>6584.000000000001</v>
      </c>
      <c r="H65" s="29">
        <f t="shared" si="32"/>
        <v>8230</v>
      </c>
      <c r="I65" s="29">
        <f t="shared" si="32"/>
        <v>9876</v>
      </c>
      <c r="J65" s="29">
        <f t="shared" si="32"/>
        <v>11522</v>
      </c>
      <c r="K65" s="29">
        <f t="shared" si="32"/>
        <v>13167.999999999998</v>
      </c>
      <c r="L65" s="29">
        <f t="shared" si="32"/>
        <v>14813.999999999998</v>
      </c>
    </row>
    <row r="66" spans="1:13" ht="15">
      <c r="A66" s="244">
        <f aca="true" t="shared" si="33" ref="A66:A78">A65+1</f>
        <v>42</v>
      </c>
      <c r="B66" s="247" t="s">
        <v>174</v>
      </c>
      <c r="C66" s="247">
        <f>C65/(C65+C78)</f>
        <v>0</v>
      </c>
      <c r="D66" s="247">
        <f aca="true" t="shared" si="34" ref="D66:L66">D65/(D65+D78)</f>
        <v>0.09293495505010299</v>
      </c>
      <c r="E66" s="247">
        <f t="shared" si="34"/>
        <v>0.1714160200474054</v>
      </c>
      <c r="F66" s="247">
        <f t="shared" si="34"/>
        <v>0.2385718537558517</v>
      </c>
      <c r="G66" s="247">
        <f t="shared" si="34"/>
        <v>0.29668891778672163</v>
      </c>
      <c r="H66" s="247">
        <f t="shared" si="34"/>
        <v>0.3474769946619293</v>
      </c>
      <c r="I66" s="247">
        <f t="shared" si="34"/>
        <v>0.3922402127040735</v>
      </c>
      <c r="J66" s="247">
        <f t="shared" si="34"/>
        <v>0.43199061417242784</v>
      </c>
      <c r="K66" s="247">
        <f t="shared" si="34"/>
        <v>0.46752559261398746</v>
      </c>
      <c r="L66" s="247">
        <f t="shared" si="34"/>
        <v>0.49948193467510255</v>
      </c>
      <c r="M66" s="195"/>
    </row>
    <row r="67" spans="1:13" ht="15">
      <c r="A67" s="244">
        <f t="shared" si="33"/>
        <v>43</v>
      </c>
      <c r="B67" s="30" t="s">
        <v>175</v>
      </c>
      <c r="C67" s="30">
        <f>C66/(1-C66)</f>
        <v>0</v>
      </c>
      <c r="D67" s="30">
        <f aca="true" t="shared" si="35" ref="D67:L67">D66/(1-D66)</f>
        <v>0.10245677040199072</v>
      </c>
      <c r="E67" s="30">
        <f t="shared" si="35"/>
        <v>0.20687826966822667</v>
      </c>
      <c r="F67" s="30">
        <f t="shared" si="35"/>
        <v>0.3133215588793782</v>
      </c>
      <c r="G67" s="30">
        <f t="shared" si="35"/>
        <v>0.4218459303286664</v>
      </c>
      <c r="H67" s="30">
        <f t="shared" si="35"/>
        <v>0.5325130176550668</v>
      </c>
      <c r="I67" s="30">
        <f t="shared" si="35"/>
        <v>0.6453869125649908</v>
      </c>
      <c r="J67" s="30">
        <f t="shared" si="35"/>
        <v>0.7605342886069231</v>
      </c>
      <c r="K67" s="30">
        <f t="shared" si="35"/>
        <v>0.8780245325012568</v>
      </c>
      <c r="L67" s="30">
        <f t="shared" si="35"/>
        <v>0.9979298836114489</v>
      </c>
      <c r="M67" s="196"/>
    </row>
    <row r="68" spans="1:13" ht="15">
      <c r="A68" s="244">
        <f t="shared" si="33"/>
        <v>44</v>
      </c>
      <c r="B68" s="246" t="s">
        <v>72</v>
      </c>
      <c r="C68" s="246">
        <f aca="true" t="shared" si="36" ref="C68:L68">C6</f>
        <v>0.097</v>
      </c>
      <c r="D68" s="246">
        <f t="shared" si="36"/>
        <v>0.097</v>
      </c>
      <c r="E68" s="246">
        <f t="shared" si="36"/>
        <v>0.105</v>
      </c>
      <c r="F68" s="246">
        <f t="shared" si="36"/>
        <v>0.115</v>
      </c>
      <c r="G68" s="246">
        <f t="shared" si="36"/>
        <v>0.14</v>
      </c>
      <c r="H68" s="246">
        <f t="shared" si="36"/>
        <v>0.15</v>
      </c>
      <c r="I68" s="246">
        <f t="shared" si="36"/>
        <v>0.165</v>
      </c>
      <c r="J68" s="246">
        <f t="shared" si="36"/>
        <v>0.18</v>
      </c>
      <c r="K68" s="246">
        <f t="shared" si="36"/>
        <v>0.18</v>
      </c>
      <c r="L68" s="246">
        <f t="shared" si="36"/>
        <v>0.18</v>
      </c>
      <c r="M68" s="197"/>
    </row>
    <row r="69" spans="1:12" ht="15">
      <c r="A69" s="244">
        <f t="shared" si="33"/>
        <v>45</v>
      </c>
      <c r="B69" s="29" t="s">
        <v>176</v>
      </c>
      <c r="C69" s="30">
        <f aca="true" t="shared" si="37" ref="C69:H69">C7</f>
        <v>0.34</v>
      </c>
      <c r="D69" s="30">
        <f t="shared" si="37"/>
        <v>0.34</v>
      </c>
      <c r="E69" s="30">
        <f t="shared" si="37"/>
        <v>0.34</v>
      </c>
      <c r="F69" s="30">
        <f t="shared" si="37"/>
        <v>0.34</v>
      </c>
      <c r="G69" s="30">
        <f t="shared" si="37"/>
        <v>0.34</v>
      </c>
      <c r="H69" s="30">
        <f t="shared" si="37"/>
        <v>0.34</v>
      </c>
      <c r="I69" s="30">
        <f>H69</f>
        <v>0.34</v>
      </c>
      <c r="J69" s="30">
        <f>I69</f>
        <v>0.34</v>
      </c>
      <c r="K69" s="30">
        <f>J69</f>
        <v>0.34</v>
      </c>
      <c r="L69" s="30">
        <f>K69</f>
        <v>0.34</v>
      </c>
    </row>
    <row r="70" spans="1:12" ht="15">
      <c r="A70" s="244">
        <f t="shared" si="33"/>
        <v>46</v>
      </c>
      <c r="B70" s="29" t="s">
        <v>177</v>
      </c>
      <c r="C70" s="29">
        <v>0.94</v>
      </c>
      <c r="D70" s="29">
        <v>0.94</v>
      </c>
      <c r="E70" s="29">
        <v>0.94</v>
      </c>
      <c r="F70" s="29">
        <v>0.94</v>
      </c>
      <c r="G70" s="29">
        <v>0.94</v>
      </c>
      <c r="H70" s="29">
        <v>0.94</v>
      </c>
      <c r="I70" s="29">
        <v>0.94</v>
      </c>
      <c r="J70" s="29">
        <v>0.94</v>
      </c>
      <c r="K70" s="29">
        <v>0.94</v>
      </c>
      <c r="L70" s="29">
        <v>0.94</v>
      </c>
    </row>
    <row r="71" spans="1:12" ht="15">
      <c r="A71" s="244">
        <f t="shared" si="33"/>
        <v>47</v>
      </c>
      <c r="B71" s="29" t="s">
        <v>178</v>
      </c>
      <c r="C71" s="29">
        <f aca="true" t="shared" si="38" ref="C71:L71">(C68-C29)/C28</f>
        <v>0.1272727272727274</v>
      </c>
      <c r="D71" s="29">
        <f t="shared" si="38"/>
        <v>0.1272727272727274</v>
      </c>
      <c r="E71" s="29">
        <f t="shared" si="38"/>
        <v>0.2727272727272727</v>
      </c>
      <c r="F71" s="29">
        <f t="shared" si="38"/>
        <v>0.4545454545454547</v>
      </c>
      <c r="G71" s="29">
        <f t="shared" si="38"/>
        <v>0.9090909090909094</v>
      </c>
      <c r="H71" s="29">
        <f t="shared" si="38"/>
        <v>1.0909090909090908</v>
      </c>
      <c r="I71" s="29">
        <f t="shared" si="38"/>
        <v>1.3636363636363638</v>
      </c>
      <c r="J71" s="29">
        <f t="shared" si="38"/>
        <v>1.6363636363636362</v>
      </c>
      <c r="K71" s="29">
        <f t="shared" si="38"/>
        <v>1.6363636363636362</v>
      </c>
      <c r="L71" s="29">
        <f t="shared" si="38"/>
        <v>1.6363636363636362</v>
      </c>
    </row>
    <row r="72" spans="1:12" ht="15">
      <c r="A72" s="244">
        <f t="shared" si="33"/>
        <v>48</v>
      </c>
      <c r="B72" s="29" t="s">
        <v>179</v>
      </c>
      <c r="C72" s="29">
        <f>C70*(1+(1-C69)*C67)-C71*C67*(1-C69)</f>
        <v>0.94</v>
      </c>
      <c r="D72" s="29">
        <f aca="true" t="shared" si="39" ref="D72:L72">D70*(1+(1-D69)*D67)-D71*D67*(1-D69)</f>
        <v>0.9949578116436277</v>
      </c>
      <c r="E72" s="29">
        <f t="shared" si="39"/>
        <v>1.031109189961887</v>
      </c>
      <c r="F72" s="29">
        <f t="shared" si="39"/>
        <v>1.0403882274649527</v>
      </c>
      <c r="G72" s="29">
        <f t="shared" si="39"/>
        <v>0.9486056569787047</v>
      </c>
      <c r="H72" s="29">
        <f t="shared" si="39"/>
        <v>0.8869617034415554</v>
      </c>
      <c r="I72" s="29">
        <f t="shared" si="39"/>
        <v>0.7595498192468284</v>
      </c>
      <c r="J72" s="29">
        <f t="shared" si="39"/>
        <v>0.5904584409562583</v>
      </c>
      <c r="K72" s="29">
        <f t="shared" si="39"/>
        <v>0.5364599248624224</v>
      </c>
      <c r="L72" s="29">
        <f t="shared" si="39"/>
        <v>0.481351425492178</v>
      </c>
    </row>
    <row r="73" spans="1:12" ht="15">
      <c r="A73" s="244">
        <f t="shared" si="33"/>
        <v>49</v>
      </c>
      <c r="B73" s="29" t="s">
        <v>90</v>
      </c>
      <c r="C73" s="248">
        <v>0.055</v>
      </c>
      <c r="D73" s="248">
        <v>0.055</v>
      </c>
      <c r="E73" s="248">
        <v>0.055</v>
      </c>
      <c r="F73" s="248">
        <v>0.055</v>
      </c>
      <c r="G73" s="248">
        <v>0.055</v>
      </c>
      <c r="H73" s="248">
        <v>0.055</v>
      </c>
      <c r="I73" s="248">
        <v>0.055</v>
      </c>
      <c r="J73" s="248">
        <v>0.055</v>
      </c>
      <c r="K73" s="248">
        <v>0.055</v>
      </c>
      <c r="L73" s="248">
        <v>0.055</v>
      </c>
    </row>
    <row r="74" spans="1:12" ht="15">
      <c r="A74" s="244">
        <f t="shared" si="33"/>
        <v>50</v>
      </c>
      <c r="B74" s="29" t="s">
        <v>124</v>
      </c>
      <c r="C74" s="248">
        <v>0.09</v>
      </c>
      <c r="D74" s="248">
        <v>0.09</v>
      </c>
      <c r="E74" s="248">
        <v>0.09</v>
      </c>
      <c r="F74" s="248">
        <v>0.09</v>
      </c>
      <c r="G74" s="248">
        <v>0.09</v>
      </c>
      <c r="H74" s="248">
        <v>0.09</v>
      </c>
      <c r="I74" s="248">
        <v>0.09</v>
      </c>
      <c r="J74" s="248">
        <v>0.09</v>
      </c>
      <c r="K74" s="248">
        <v>0.09</v>
      </c>
      <c r="L74" s="248">
        <v>0.09</v>
      </c>
    </row>
    <row r="75" spans="1:13" ht="15">
      <c r="A75" s="244">
        <f t="shared" si="33"/>
        <v>51</v>
      </c>
      <c r="B75" s="28" t="s">
        <v>32</v>
      </c>
      <c r="C75" s="249">
        <f>C74+C73*C72</f>
        <v>0.1417</v>
      </c>
      <c r="D75" s="249">
        <f aca="true" t="shared" si="40" ref="D75:L75">D74+D73*D72</f>
        <v>0.14472267964039953</v>
      </c>
      <c r="E75" s="249">
        <f t="shared" si="40"/>
        <v>0.14671100544790378</v>
      </c>
      <c r="F75" s="249">
        <f t="shared" si="40"/>
        <v>0.1472213525105724</v>
      </c>
      <c r="G75" s="249">
        <f t="shared" si="40"/>
        <v>0.14217331113382875</v>
      </c>
      <c r="H75" s="249">
        <f t="shared" si="40"/>
        <v>0.13878289368928554</v>
      </c>
      <c r="I75" s="249">
        <f t="shared" si="40"/>
        <v>0.13177524005857555</v>
      </c>
      <c r="J75" s="249">
        <f t="shared" si="40"/>
        <v>0.1224752142525942</v>
      </c>
      <c r="K75" s="249">
        <f t="shared" si="40"/>
        <v>0.11950529586743323</v>
      </c>
      <c r="L75" s="249">
        <f t="shared" si="40"/>
        <v>0.11647432840206978</v>
      </c>
      <c r="M75" s="193"/>
    </row>
    <row r="76" spans="1:13" ht="15">
      <c r="A76" s="244">
        <f t="shared" si="33"/>
        <v>52</v>
      </c>
      <c r="B76" s="28" t="s">
        <v>180</v>
      </c>
      <c r="C76" s="249">
        <f>C68*(1-C69)*C66+C75*(1-C66)</f>
        <v>0.1417</v>
      </c>
      <c r="D76" s="249">
        <f aca="true" t="shared" si="41" ref="D76:L76">D68*(1-D69)*D66+D75*(1-D66)</f>
        <v>0.13722257973559615</v>
      </c>
      <c r="E76" s="249">
        <f t="shared" si="41"/>
        <v>0.13344151898615608</v>
      </c>
      <c r="F76" s="249">
        <f t="shared" si="41"/>
        <v>0.13020608522975058</v>
      </c>
      <c r="G76" s="249">
        <f t="shared" si="41"/>
        <v>0.12740612131887133</v>
      </c>
      <c r="H76" s="249">
        <f t="shared" si="41"/>
        <v>0.12495925335117755</v>
      </c>
      <c r="I76" s="249">
        <f t="shared" si="41"/>
        <v>0.12280265103234314</v>
      </c>
      <c r="J76" s="249">
        <f t="shared" si="41"/>
        <v>0.12088755619040076</v>
      </c>
      <c r="K76" s="249">
        <f t="shared" si="41"/>
        <v>0.11917555199904331</v>
      </c>
      <c r="L76" s="249">
        <f t="shared" si="41"/>
        <v>0.1176359593512229</v>
      </c>
      <c r="M76" s="193"/>
    </row>
    <row r="77" spans="1:12" ht="15">
      <c r="A77" s="244">
        <f t="shared" si="33"/>
        <v>53</v>
      </c>
      <c r="B77" s="29" t="s">
        <v>159</v>
      </c>
      <c r="C77" s="106">
        <f aca="true" t="shared" si="42" ref="C77:L77">C62*(1+C22)/(C76-C22)</f>
        <v>16217.884896421847</v>
      </c>
      <c r="D77" s="106">
        <f t="shared" si="42"/>
        <v>17711.31216572504</v>
      </c>
      <c r="E77" s="106">
        <f t="shared" si="42"/>
        <v>19204.739435028256</v>
      </c>
      <c r="F77" s="106">
        <f t="shared" si="42"/>
        <v>20698.16670433145</v>
      </c>
      <c r="G77" s="106">
        <f t="shared" si="42"/>
        <v>22191.593973634644</v>
      </c>
      <c r="H77" s="106">
        <f t="shared" si="42"/>
        <v>23685.02124293786</v>
      </c>
      <c r="I77" s="106">
        <f t="shared" si="42"/>
        <v>25178.448512241048</v>
      </c>
      <c r="J77" s="106">
        <f t="shared" si="42"/>
        <v>26671.875781544273</v>
      </c>
      <c r="K77" s="106">
        <f t="shared" si="42"/>
        <v>28165.303050847466</v>
      </c>
      <c r="L77" s="106">
        <f t="shared" si="42"/>
        <v>29658.730320674953</v>
      </c>
    </row>
    <row r="78" spans="1:13" ht="15">
      <c r="A78" s="244">
        <f t="shared" si="33"/>
        <v>54</v>
      </c>
      <c r="B78" s="28" t="s">
        <v>181</v>
      </c>
      <c r="C78" s="245">
        <f>C77-C65</f>
        <v>16217.884896421847</v>
      </c>
      <c r="D78" s="245">
        <f aca="true" t="shared" si="43" ref="D78:L78">D77-D65</f>
        <v>16065.312165725041</v>
      </c>
      <c r="E78" s="245">
        <f t="shared" si="43"/>
        <v>15912.739435028256</v>
      </c>
      <c r="F78" s="245">
        <f t="shared" si="43"/>
        <v>15760.166704331448</v>
      </c>
      <c r="G78" s="245">
        <f t="shared" si="43"/>
        <v>15607.593973634644</v>
      </c>
      <c r="H78" s="245">
        <f t="shared" si="43"/>
        <v>15455.021242937859</v>
      </c>
      <c r="I78" s="245">
        <f t="shared" si="43"/>
        <v>15302.448512241048</v>
      </c>
      <c r="J78" s="245">
        <f t="shared" si="43"/>
        <v>15149.875781544273</v>
      </c>
      <c r="K78" s="245">
        <f t="shared" si="43"/>
        <v>14997.303050847468</v>
      </c>
      <c r="L78" s="245">
        <f t="shared" si="43"/>
        <v>14844.730320674955</v>
      </c>
      <c r="M78" s="193"/>
    </row>
    <row r="80" spans="1:13" ht="15">
      <c r="A80" s="244">
        <f>A78+1</f>
        <v>55</v>
      </c>
      <c r="B80" s="28" t="s">
        <v>160</v>
      </c>
      <c r="C80" s="245">
        <f aca="true" t="shared" si="44" ref="C80:L80">C61*(1+C22)/(C75-C22)</f>
        <v>16217.884896421847</v>
      </c>
      <c r="D80" s="245">
        <f t="shared" si="44"/>
        <v>16065.312165725045</v>
      </c>
      <c r="E80" s="245">
        <f t="shared" si="44"/>
        <v>15912.73943502825</v>
      </c>
      <c r="F80" s="245">
        <f t="shared" si="44"/>
        <v>15760.166704331452</v>
      </c>
      <c r="G80" s="245">
        <f t="shared" si="44"/>
        <v>15607.59397363465</v>
      </c>
      <c r="H80" s="245">
        <f t="shared" si="44"/>
        <v>15455.021242937857</v>
      </c>
      <c r="I80" s="245">
        <f t="shared" si="44"/>
        <v>15302.448512241057</v>
      </c>
      <c r="J80" s="245">
        <f t="shared" si="44"/>
        <v>15149.87578154426</v>
      </c>
      <c r="K80" s="245">
        <f t="shared" si="44"/>
        <v>14997.303050847464</v>
      </c>
      <c r="L80" s="245">
        <f t="shared" si="44"/>
        <v>14844.730320723154</v>
      </c>
      <c r="M80" s="19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Linares Salazar, Pablo</dc:creator>
  <cp:keywords/>
  <dc:description/>
  <cp:lastModifiedBy>Pablo Fernandez</cp:lastModifiedBy>
  <dcterms:created xsi:type="dcterms:W3CDTF">2013-10-09T07:52:10Z</dcterms:created>
  <dcterms:modified xsi:type="dcterms:W3CDTF">2019-05-25T20:32:31Z</dcterms:modified>
  <cp:category/>
  <cp:version/>
  <cp:contentType/>
  <cp:contentStatus/>
</cp:coreProperties>
</file>