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13185" windowHeight="5475" tabRatio="354" activeTab="0"/>
  </bookViews>
  <sheets>
    <sheet name="Table1" sheetId="1" r:id="rId1"/>
    <sheet name="Table2" sheetId="2" r:id="rId2"/>
    <sheet name="Table3-4" sheetId="3" r:id="rId3"/>
    <sheet name="Table5" sheetId="4" r:id="rId4"/>
    <sheet name="Tables6-8" sheetId="5" r:id="rId5"/>
    <sheet name="Table10" sheetId="6" r:id="rId6"/>
  </sheets>
  <definedNames>
    <definedName name="_xlnm.Print_Area" localSheetId="4">'Tables6-8'!$A$1:$O$106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<sst xmlns="http://schemas.openxmlformats.org/spreadsheetml/2006/main" count="380" uniqueCount="185">
  <si>
    <t>D =</t>
  </si>
  <si>
    <t xml:space="preserve">CRECIMIENTO = </t>
  </si>
  <si>
    <t>imp =</t>
  </si>
  <si>
    <t>Kd = r</t>
  </si>
  <si>
    <t>G=</t>
  </si>
  <si>
    <t>Cash</t>
  </si>
  <si>
    <t>Accounts receivable</t>
  </si>
  <si>
    <t>Stocks</t>
  </si>
  <si>
    <t>Gross fixed assets</t>
  </si>
  <si>
    <t xml:space="preserve"> - cum. depreciation</t>
  </si>
  <si>
    <t>Net fixed assets</t>
  </si>
  <si>
    <t>TOTAL ASSETS</t>
  </si>
  <si>
    <t>Accounts payable</t>
  </si>
  <si>
    <t>Debt</t>
  </si>
  <si>
    <t>Equity</t>
  </si>
  <si>
    <t>TOTAL</t>
  </si>
  <si>
    <t>NOF</t>
  </si>
  <si>
    <t>∆ NOF</t>
  </si>
  <si>
    <t>Sales</t>
  </si>
  <si>
    <t>Cost of sales</t>
  </si>
  <si>
    <t>General expenses</t>
  </si>
  <si>
    <t>Depreciation</t>
  </si>
  <si>
    <t>Margin</t>
  </si>
  <si>
    <t>Interest</t>
  </si>
  <si>
    <t>PBT</t>
  </si>
  <si>
    <t>Tax</t>
  </si>
  <si>
    <t>PAT</t>
  </si>
  <si>
    <t>Flujo de fondos (millones)</t>
  </si>
  <si>
    <t>BDT</t>
  </si>
  <si>
    <t xml:space="preserve"> + Depreciation</t>
  </si>
  <si>
    <t xml:space="preserve"> + ∆ Debt</t>
  </si>
  <si>
    <t xml:space="preserve"> - ∆ WCR</t>
  </si>
  <si>
    <t xml:space="preserve"> - Investments</t>
  </si>
  <si>
    <t>ECF= Dividends</t>
  </si>
  <si>
    <t>FCF</t>
  </si>
  <si>
    <t>g FCF</t>
  </si>
  <si>
    <t>Beta U</t>
  </si>
  <si>
    <t>Rf</t>
  </si>
  <si>
    <t>Rm - Rf</t>
  </si>
  <si>
    <t>Ku</t>
  </si>
  <si>
    <t>PV (Ku;FCF) 1-10</t>
  </si>
  <si>
    <t>PV 11-</t>
  </si>
  <si>
    <t>Vu = PV (Ku;FCF)</t>
  </si>
  <si>
    <t>FCF w/out taxes</t>
  </si>
  <si>
    <t>PV 1-10; Ku</t>
  </si>
  <si>
    <t>PV 11-...;  Ku</t>
  </si>
  <si>
    <t>Vu sin impuestos (Ku)</t>
  </si>
  <si>
    <t>N</t>
  </si>
  <si>
    <t>r</t>
  </si>
  <si>
    <t>Beta debt</t>
  </si>
  <si>
    <t>debt flow</t>
  </si>
  <si>
    <t>1  /  [(1+Kd1)x(1+Kd2)..]</t>
  </si>
  <si>
    <t>PVo  ECF t</t>
  </si>
  <si>
    <t>PV 1-10</t>
  </si>
  <si>
    <t>A</t>
  </si>
  <si>
    <t>D</t>
  </si>
  <si>
    <t>Kd</t>
  </si>
  <si>
    <t>B</t>
  </si>
  <si>
    <t>Beta d</t>
  </si>
  <si>
    <t>E</t>
  </si>
  <si>
    <t>D T Ku</t>
  </si>
  <si>
    <t xml:space="preserve"> -D=E1</t>
  </si>
  <si>
    <t>Beta E</t>
  </si>
  <si>
    <t>Ke</t>
  </si>
  <si>
    <t>1  /  [(1+Ke1)x(1+Ke2)..]</t>
  </si>
  <si>
    <t>ECF = Dividends</t>
  </si>
  <si>
    <t>E 2 = PV(Ke; ECF)</t>
  </si>
  <si>
    <t>Et = Et-1 * (1+Ke) - ECF</t>
  </si>
  <si>
    <t>Reformed WACC</t>
  </si>
  <si>
    <t>1  /  [(1+wacc1)x(1+wacc2)..]</t>
  </si>
  <si>
    <t>PVo  FCF t</t>
  </si>
  <si>
    <t>PV(WACC;FCF)</t>
  </si>
  <si>
    <t xml:space="preserve"> - D = E 3</t>
  </si>
  <si>
    <t>Growth of E3</t>
  </si>
  <si>
    <r>
      <t>WACC</t>
    </r>
    <r>
      <rPr>
        <b/>
        <vertAlign val="subscript"/>
        <sz val="9"/>
        <rFont val="Tms Rmn"/>
        <family val="0"/>
      </rPr>
      <t>BT</t>
    </r>
  </si>
  <si>
    <t>CCF</t>
  </si>
  <si>
    <t>PV(WACCBT;CCF)</t>
  </si>
  <si>
    <t xml:space="preserve"> - D = E 4</t>
  </si>
  <si>
    <t>Debt flows</t>
  </si>
  <si>
    <t>∆ debt</t>
  </si>
  <si>
    <t>Debt flow:</t>
  </si>
  <si>
    <t>Growth</t>
  </si>
  <si>
    <t>FONT Inc.</t>
  </si>
  <si>
    <t>VTS</t>
  </si>
  <si>
    <t>VTS + Vu</t>
  </si>
  <si>
    <t>WACC</t>
  </si>
  <si>
    <t>FONT Inc.       D different from N</t>
  </si>
  <si>
    <t>Kd = Rf +(Ku - Rf) * D(1-T) / [ D(1-T) + E ]</t>
  </si>
  <si>
    <t>C</t>
  </si>
  <si>
    <t>D/N</t>
  </si>
  <si>
    <t>D/E1</t>
  </si>
  <si>
    <t>D/E2</t>
  </si>
  <si>
    <t>D/E3</t>
  </si>
  <si>
    <t>Nr-DKd</t>
  </si>
  <si>
    <t>Ke - Kd</t>
  </si>
  <si>
    <t>D T Ku + (Nr-DKd)*T</t>
  </si>
  <si>
    <t>Flujos de la deuda:</t>
  </si>
  <si>
    <t>Intereses</t>
  </si>
  <si>
    <t>∆ deuda</t>
  </si>
  <si>
    <t>Flujo total de la deuda:</t>
  </si>
  <si>
    <t>Crecimiento del flujo</t>
  </si>
  <si>
    <t>Table 1. Example of the valuation of six companies without growth</t>
  </si>
  <si>
    <t>[A]</t>
  </si>
  <si>
    <t>[B]</t>
  </si>
  <si>
    <t>[C]</t>
  </si>
  <si>
    <t>[D]</t>
  </si>
  <si>
    <t>[E]</t>
  </si>
  <si>
    <t>[F]</t>
  </si>
  <si>
    <t>D=0</t>
  </si>
  <si>
    <t>Kd=13%</t>
  </si>
  <si>
    <t>Kd=14%</t>
  </si>
  <si>
    <t>Taxes</t>
  </si>
  <si>
    <t xml:space="preserve"> + depreciation</t>
  </si>
  <si>
    <t xml:space="preserve"> - Investment in fixed assets</t>
  </si>
  <si>
    <t>ECF</t>
  </si>
  <si>
    <t>Unlevered beta (ßu)</t>
  </si>
  <si>
    <r>
      <t>R</t>
    </r>
    <r>
      <rPr>
        <sz val="8"/>
        <color indexed="8"/>
        <rFont val="Times New Roman"/>
        <family val="1"/>
      </rPr>
      <t>F</t>
    </r>
  </si>
  <si>
    <t>Vu</t>
  </si>
  <si>
    <t>Beta of debt (ßd)</t>
  </si>
  <si>
    <t>VTS = DT</t>
  </si>
  <si>
    <r>
      <t xml:space="preserve"> - D = </t>
    </r>
    <r>
      <rPr>
        <b/>
        <sz val="10"/>
        <color indexed="8"/>
        <rFont val="Times New Roman"/>
        <family val="1"/>
      </rPr>
      <t>E1</t>
    </r>
  </si>
  <si>
    <r>
      <t>Levered beta (ß</t>
    </r>
    <r>
      <rPr>
        <sz val="8"/>
        <color indexed="8"/>
        <rFont val="Times New Roman"/>
        <family val="1"/>
      </rPr>
      <t>L</t>
    </r>
    <r>
      <rPr>
        <sz val="10"/>
        <color indexed="8"/>
        <rFont val="Times New Roman"/>
        <family val="1"/>
      </rPr>
      <t>)</t>
    </r>
  </si>
  <si>
    <r>
      <t xml:space="preserve">E2 </t>
    </r>
    <r>
      <rPr>
        <sz val="10"/>
        <color indexed="8"/>
        <rFont val="Times New Roman"/>
        <family val="1"/>
      </rPr>
      <t>= ECF / Ke</t>
    </r>
  </si>
  <si>
    <t>FCF / WACC</t>
  </si>
  <si>
    <r>
      <t>E3</t>
    </r>
    <r>
      <rPr>
        <sz val="10"/>
        <color indexed="8"/>
        <rFont val="Times New Roman"/>
        <family val="1"/>
      </rPr>
      <t xml:space="preserve"> = (FCF / WACC)  - D</t>
    </r>
  </si>
  <si>
    <r>
      <t>WACC</t>
    </r>
    <r>
      <rPr>
        <sz val="8"/>
        <color indexed="8"/>
        <rFont val="Times New Roman"/>
        <family val="1"/>
      </rPr>
      <t>BT</t>
    </r>
  </si>
  <si>
    <r>
      <t>CCF/WACC</t>
    </r>
    <r>
      <rPr>
        <sz val="8"/>
        <color indexed="8"/>
        <rFont val="Times New Roman"/>
        <family val="1"/>
      </rPr>
      <t>BT</t>
    </r>
  </si>
  <si>
    <r>
      <t>E4</t>
    </r>
    <r>
      <rPr>
        <sz val="10"/>
        <color indexed="8"/>
        <rFont val="Times New Roman"/>
        <family val="1"/>
      </rPr>
      <t xml:space="preserve"> = (CCF / WACC</t>
    </r>
    <r>
      <rPr>
        <sz val="8"/>
        <color indexed="8"/>
        <rFont val="Times New Roman"/>
        <family val="1"/>
      </rPr>
      <t>BT</t>
    </r>
    <r>
      <rPr>
        <sz val="10"/>
        <color indexed="8"/>
        <rFont val="Times New Roman"/>
        <family val="1"/>
      </rPr>
      <t>)  - D</t>
    </r>
  </si>
  <si>
    <t>Table 2. Annual cash flows (million euros), discount rates and value of the company without growth</t>
  </si>
  <si>
    <t>WITHOUT TAXES</t>
  </si>
  <si>
    <t>WITH TAXES (35%)</t>
  </si>
  <si>
    <t>No debt</t>
  </si>
  <si>
    <t>With debt</t>
  </si>
  <si>
    <t>Debt flow (interest)</t>
  </si>
  <si>
    <t>Total cash flow</t>
  </si>
  <si>
    <t>––</t>
  </si>
  <si>
    <r>
      <t>K</t>
    </r>
    <r>
      <rPr>
        <u val="single"/>
        <vertAlign val="subscript"/>
        <sz val="8"/>
        <color indexed="8"/>
        <rFont val="Times New Roman"/>
        <family val="1"/>
      </rPr>
      <t>L</t>
    </r>
    <r>
      <rPr>
        <u val="single"/>
        <sz val="8"/>
        <color indexed="8"/>
        <rFont val="Times New Roman"/>
        <family val="1"/>
      </rPr>
      <t>T</t>
    </r>
  </si>
  <si>
    <t>E = ECF/Ke</t>
  </si>
  <si>
    <t>D = Debt flow/Kd</t>
  </si>
  <si>
    <r>
      <t>G = Taxes/K</t>
    </r>
    <r>
      <rPr>
        <vertAlign val="subscript"/>
        <sz val="9"/>
        <color indexed="8"/>
        <rFont val="Times New Roman"/>
        <family val="1"/>
      </rPr>
      <t>L</t>
    </r>
    <r>
      <rPr>
        <sz val="9"/>
        <color indexed="8"/>
        <rFont val="Times New Roman"/>
        <family val="1"/>
      </rPr>
      <t>T</t>
    </r>
  </si>
  <si>
    <t>E+D+G</t>
  </si>
  <si>
    <t xml:space="preserve"> </t>
  </si>
  <si>
    <t>(Columns of Table 1 to which these values correspond)</t>
  </si>
  <si>
    <t>Table 3. Balance sheet, income statement and cash flows of a company that grows at 5%.  The net fixed assets remain constant. T = 35%.</t>
  </si>
  <si>
    <t>Cash and banks</t>
  </si>
  <si>
    <t>Equity (book value)</t>
  </si>
  <si>
    <t>TOTAL LIABILITIES</t>
  </si>
  <si>
    <t>Income statement</t>
  </si>
  <si>
    <t xml:space="preserve">Debt cash flow </t>
  </si>
  <si>
    <t>Vu = FCF/(Ku - g)</t>
  </si>
  <si>
    <t>FCF WITHOUT TAXES</t>
  </si>
  <si>
    <t>Vu without taxes</t>
  </si>
  <si>
    <t>WITH TAXES</t>
  </si>
  <si>
    <t>DTKu/(Ku-g) = VTS</t>
  </si>
  <si>
    <t xml:space="preserve"> - D =</t>
  </si>
  <si>
    <t>E 1</t>
  </si>
  <si>
    <t>E 2 = ECF / (Ke-g)</t>
  </si>
  <si>
    <t>D + E =</t>
  </si>
  <si>
    <t>FCF / (WACC-g)</t>
  </si>
  <si>
    <t>E 3</t>
  </si>
  <si>
    <r>
      <t>WACC</t>
    </r>
    <r>
      <rPr>
        <vertAlign val="subscript"/>
        <sz val="9"/>
        <color indexed="8"/>
        <rFont val="Times New Roman"/>
        <family val="1"/>
      </rPr>
      <t>BT</t>
    </r>
  </si>
  <si>
    <r>
      <t>CCF / (WACC</t>
    </r>
    <r>
      <rPr>
        <vertAlign val="subscript"/>
        <sz val="9"/>
        <color indexed="8"/>
        <rFont val="Times New Roman"/>
        <family val="1"/>
      </rPr>
      <t>BT</t>
    </r>
    <r>
      <rPr>
        <sz val="9"/>
        <color indexed="8"/>
        <rFont val="Times New Roman"/>
        <family val="1"/>
      </rPr>
      <t>-g)</t>
    </r>
  </si>
  <si>
    <t>E 4</t>
  </si>
  <si>
    <r>
      <t>Table 5</t>
    </r>
    <r>
      <rPr>
        <sz val="10"/>
        <color indexed="8"/>
        <rFont val="Times New Roman"/>
        <family val="1"/>
      </rPr>
      <t xml:space="preserve">. </t>
    </r>
    <r>
      <rPr>
        <b/>
        <sz val="10"/>
        <color indexed="8"/>
        <rFont val="Times New Roman"/>
        <family val="1"/>
      </rPr>
      <t>Cash flows in year 1, discount rates and value of the company with an annual growth = 5%</t>
    </r>
  </si>
  <si>
    <t xml:space="preserve">WITHOUT TAXES  </t>
  </si>
  <si>
    <t>Without debt</t>
  </si>
  <si>
    <t>D = 500</t>
  </si>
  <si>
    <t>Debt cash flow</t>
  </si>
  <si>
    <r>
      <t>K</t>
    </r>
    <r>
      <rPr>
        <u val="single"/>
        <sz val="9"/>
        <color indexed="8"/>
        <rFont val="Times New Roman"/>
        <family val="1"/>
      </rPr>
      <t>TL</t>
    </r>
  </si>
  <si>
    <t>E = ECF/(Ke-g)</t>
  </si>
  <si>
    <r>
      <t>G = Taxes/(K</t>
    </r>
    <r>
      <rPr>
        <sz val="9"/>
        <color indexed="8"/>
        <rFont val="Times New Roman"/>
        <family val="1"/>
      </rPr>
      <t>TL</t>
    </r>
    <r>
      <rPr>
        <sz val="10"/>
        <color indexed="8"/>
        <rFont val="Times New Roman"/>
        <family val="1"/>
      </rPr>
      <t>-g)</t>
    </r>
  </si>
  <si>
    <t>–––</t>
  </si>
  <si>
    <t>D = Debt cash flow/(Kd-g)</t>
  </si>
  <si>
    <t>SUM</t>
  </si>
  <si>
    <t>D = 1000</t>
  </si>
  <si>
    <t>D=1000</t>
  </si>
  <si>
    <t>D=2000</t>
  </si>
  <si>
    <t xml:space="preserve"> - cum, depreciation</t>
  </si>
  <si>
    <r>
      <t>MRP</t>
    </r>
    <r>
      <rPr>
        <sz val="10"/>
        <color indexed="8"/>
        <rFont val="Times New Roman"/>
        <family val="1"/>
      </rPr>
      <t xml:space="preserve"> = market risk premium</t>
    </r>
  </si>
  <si>
    <t xml:space="preserve">T = </t>
  </si>
  <si>
    <t>g=</t>
  </si>
  <si>
    <t>Table 4. Valuation of a company that grows at 5%. The net fixed assets are constant. T = 35%.</t>
  </si>
  <si>
    <t>MRP</t>
  </si>
  <si>
    <t>Debt (D)</t>
  </si>
  <si>
    <t>341,25 /(KTL - 5%) = 2216,67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</si>
</sst>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d/m/yy\ h:mm"/>
    <numFmt numFmtId="181" formatCode="0.000000"/>
    <numFmt numFmtId="182" formatCode="0.0000%"/>
    <numFmt numFmtId="183" formatCode="0.0000"/>
    <numFmt numFmtId="184" formatCode="0.0000000"/>
    <numFmt numFmtId="185" formatCode="0.000%"/>
    <numFmt numFmtId="186" formatCode="#,##0.0"/>
    <numFmt numFmtId="187" formatCode="0.0"/>
    <numFmt numFmtId="188" formatCode="0.00000"/>
    <numFmt numFmtId="189" formatCode="0.0%"/>
    <numFmt numFmtId="190" formatCode="#,##0.000"/>
    <numFmt numFmtId="191" formatCode="#,##0.0000"/>
    <numFmt numFmtId="192" formatCode="0.00000000"/>
    <numFmt numFmtId="193" formatCode="0.000"/>
    <numFmt numFmtId="194" formatCode="#,##0.00000"/>
    <numFmt numFmtId="195" formatCode="0.00000%"/>
    <numFmt numFmtId="196" formatCode="0.000000%"/>
    <numFmt numFmtId="197" formatCode="0.0000000%"/>
    <numFmt numFmtId="198" formatCode="0.00000000%"/>
    <numFmt numFmtId="199" formatCode="0.000000000%"/>
    <numFmt numFmtId="200" formatCode="0.0000000000%"/>
    <numFmt numFmtId="201" formatCode="0.00000000000%"/>
    <numFmt numFmtId="202" formatCode="0.000000000000%"/>
    <numFmt numFmtId="203" formatCode="0.0000000000000%"/>
    <numFmt numFmtId="204" formatCode="0.00000000000000%"/>
  </numFmts>
  <fonts count="73">
    <font>
      <sz val="9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i/>
      <sz val="9"/>
      <name val="Tms Rmn"/>
      <family val="0"/>
    </font>
    <font>
      <i/>
      <sz val="9"/>
      <name val="Tms Rmn"/>
      <family val="0"/>
    </font>
    <font>
      <b/>
      <sz val="9"/>
      <name val="Tms Rmn"/>
      <family val="0"/>
    </font>
    <font>
      <b/>
      <sz val="12"/>
      <name val="Tms Rmn"/>
      <family val="0"/>
    </font>
    <font>
      <b/>
      <vertAlign val="subscript"/>
      <sz val="9"/>
      <name val="Tms Rmn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vertAlign val="subscript"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36"/>
      <name val="Tms Rmn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"/>
      <color indexed="39"/>
      <name val="Tms Rmn"/>
      <family val="0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ms Rmn"/>
      <family val="0"/>
    </font>
    <font>
      <u val="single"/>
      <sz val="9"/>
      <color theme="11"/>
      <name val="Tms Rmn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0"/>
      <color rgb="FF000000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408">
    <xf numFmtId="0" fontId="0" fillId="0" borderId="0" xfId="0" applyAlignment="1">
      <alignment/>
    </xf>
    <xf numFmtId="10" fontId="5" fillId="0" borderId="1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5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0" fontId="7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left"/>
    </xf>
    <xf numFmtId="10" fontId="5" fillId="0" borderId="10" xfId="0" applyNumberFormat="1" applyFont="1" applyBorder="1" applyAlignment="1">
      <alignment horizontal="right"/>
    </xf>
    <xf numFmtId="10" fontId="5" fillId="0" borderId="0" xfId="0" applyNumberFormat="1" applyFont="1" applyAlignment="1">
      <alignment horizontal="left"/>
    </xf>
    <xf numFmtId="10" fontId="5" fillId="0" borderId="11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5" fillId="0" borderId="12" xfId="0" applyFont="1" applyBorder="1" applyAlignment="1">
      <alignment horizontal="right"/>
    </xf>
    <xf numFmtId="9" fontId="7" fillId="0" borderId="0" xfId="0" applyNumberFormat="1" applyFont="1" applyAlignment="1">
      <alignment horizontal="right"/>
    </xf>
    <xf numFmtId="10" fontId="5" fillId="0" borderId="13" xfId="0" applyNumberFormat="1" applyFont="1" applyBorder="1" applyAlignment="1">
      <alignment horizontal="right"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0" fontId="5" fillId="0" borderId="14" xfId="0" applyFont="1" applyBorder="1" applyAlignment="1">
      <alignment horizontal="right"/>
    </xf>
    <xf numFmtId="10" fontId="6" fillId="0" borderId="14" xfId="0" applyNumberFormat="1" applyFont="1" applyBorder="1" applyAlignment="1">
      <alignment/>
    </xf>
    <xf numFmtId="10" fontId="7" fillId="0" borderId="14" xfId="0" applyNumberFormat="1" applyFont="1" applyBorder="1" applyAlignment="1">
      <alignment/>
    </xf>
    <xf numFmtId="9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86" fontId="7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3" fontId="7" fillId="0" borderId="0" xfId="0" applyNumberFormat="1" applyFont="1" applyBorder="1" applyAlignment="1">
      <alignment/>
    </xf>
    <xf numFmtId="189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10" fontId="0" fillId="0" borderId="17" xfId="0" applyNumberFormat="1" applyFont="1" applyBorder="1" applyAlignment="1">
      <alignment horizontal="left"/>
    </xf>
    <xf numFmtId="0" fontId="0" fillId="0" borderId="17" xfId="0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7" fillId="0" borderId="14" xfId="0" applyFont="1" applyBorder="1" applyAlignment="1">
      <alignment horizontal="center"/>
    </xf>
    <xf numFmtId="10" fontId="0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3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10" fontId="7" fillId="0" borderId="18" xfId="0" applyNumberFormat="1" applyFont="1" applyBorder="1" applyAlignment="1">
      <alignment horizontal="left"/>
    </xf>
    <xf numFmtId="3" fontId="7" fillId="0" borderId="18" xfId="0" applyNumberFormat="1" applyFont="1" applyBorder="1" applyAlignment="1">
      <alignment horizontal="right"/>
    </xf>
    <xf numFmtId="10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18" xfId="0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10" fontId="5" fillId="0" borderId="14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0" fillId="0" borderId="14" xfId="0" applyNumberFormat="1" applyFont="1" applyBorder="1" applyAlignment="1">
      <alignment/>
    </xf>
    <xf numFmtId="181" fontId="0" fillId="0" borderId="14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10" fontId="0" fillId="0" borderId="14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10" fontId="7" fillId="0" borderId="12" xfId="0" applyNumberFormat="1" applyFont="1" applyBorder="1" applyAlignment="1">
      <alignment/>
    </xf>
    <xf numFmtId="10" fontId="7" fillId="0" borderId="26" xfId="0" applyNumberFormat="1" applyFont="1" applyBorder="1" applyAlignment="1">
      <alignment/>
    </xf>
    <xf numFmtId="0" fontId="7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4" fontId="0" fillId="0" borderId="18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7" fillId="0" borderId="29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9" fontId="5" fillId="0" borderId="12" xfId="0" applyNumberFormat="1" applyFont="1" applyBorder="1" applyAlignment="1">
      <alignment/>
    </xf>
    <xf numFmtId="9" fontId="5" fillId="0" borderId="14" xfId="0" applyNumberFormat="1" applyFont="1" applyBorder="1" applyAlignment="1">
      <alignment/>
    </xf>
    <xf numFmtId="9" fontId="5" fillId="0" borderId="26" xfId="0" applyNumberFormat="1" applyFont="1" applyBorder="1" applyAlignment="1">
      <alignment/>
    </xf>
    <xf numFmtId="10" fontId="5" fillId="0" borderId="12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183" fontId="0" fillId="0" borderId="14" xfId="0" applyNumberFormat="1" applyFont="1" applyBorder="1" applyAlignment="1">
      <alignment/>
    </xf>
    <xf numFmtId="183" fontId="0" fillId="0" borderId="26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 horizontal="right"/>
    </xf>
    <xf numFmtId="181" fontId="0" fillId="0" borderId="12" xfId="0" applyNumberFormat="1" applyFont="1" applyBorder="1" applyAlignment="1">
      <alignment/>
    </xf>
    <xf numFmtId="184" fontId="0" fillId="0" borderId="26" xfId="0" applyNumberFormat="1" applyFont="1" applyBorder="1" applyAlignment="1">
      <alignment/>
    </xf>
    <xf numFmtId="184" fontId="0" fillId="0" borderId="12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186" fontId="0" fillId="0" borderId="31" xfId="0" applyNumberFormat="1" applyFont="1" applyBorder="1" applyAlignment="1">
      <alignment/>
    </xf>
    <xf numFmtId="186" fontId="7" fillId="0" borderId="32" xfId="0" applyNumberFormat="1" applyFont="1" applyBorder="1" applyAlignment="1">
      <alignment horizontal="center"/>
    </xf>
    <xf numFmtId="186" fontId="7" fillId="0" borderId="33" xfId="0" applyNumberFormat="1" applyFont="1" applyBorder="1" applyAlignment="1">
      <alignment/>
    </xf>
    <xf numFmtId="186" fontId="7" fillId="0" borderId="34" xfId="0" applyNumberFormat="1" applyFont="1" applyBorder="1" applyAlignment="1">
      <alignment/>
    </xf>
    <xf numFmtId="186" fontId="7" fillId="0" borderId="35" xfId="0" applyNumberFormat="1" applyFont="1" applyBorder="1" applyAlignment="1">
      <alignment/>
    </xf>
    <xf numFmtId="186" fontId="7" fillId="0" borderId="36" xfId="0" applyNumberFormat="1" applyFont="1" applyBorder="1" applyAlignment="1">
      <alignment/>
    </xf>
    <xf numFmtId="186" fontId="0" fillId="0" borderId="35" xfId="0" applyNumberFormat="1" applyFont="1" applyBorder="1" applyAlignment="1">
      <alignment/>
    </xf>
    <xf numFmtId="182" fontId="0" fillId="0" borderId="14" xfId="0" applyNumberFormat="1" applyFont="1" applyBorder="1" applyAlignment="1">
      <alignment/>
    </xf>
    <xf numFmtId="182" fontId="0" fillId="0" borderId="26" xfId="0" applyNumberFormat="1" applyFont="1" applyBorder="1" applyAlignment="1">
      <alignment/>
    </xf>
    <xf numFmtId="182" fontId="0" fillId="0" borderId="12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0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3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left"/>
    </xf>
    <xf numFmtId="2" fontId="0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31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40" xfId="0" applyFont="1" applyBorder="1" applyAlignment="1">
      <alignment/>
    </xf>
    <xf numFmtId="0" fontId="7" fillId="0" borderId="33" xfId="0" applyFont="1" applyBorder="1" applyAlignment="1">
      <alignment horizontal="left"/>
    </xf>
    <xf numFmtId="0" fontId="7" fillId="0" borderId="41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85" fontId="7" fillId="0" borderId="0" xfId="0" applyNumberFormat="1" applyFont="1" applyAlignment="1">
      <alignment/>
    </xf>
    <xf numFmtId="181" fontId="0" fillId="0" borderId="2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2" xfId="0" applyFont="1" applyBorder="1" applyAlignment="1">
      <alignment/>
    </xf>
    <xf numFmtId="9" fontId="6" fillId="0" borderId="26" xfId="0" applyNumberFormat="1" applyFont="1" applyBorder="1" applyAlignment="1">
      <alignment/>
    </xf>
    <xf numFmtId="9" fontId="6" fillId="0" borderId="12" xfId="0" applyNumberFormat="1" applyFont="1" applyBorder="1" applyAlignment="1">
      <alignment/>
    </xf>
    <xf numFmtId="186" fontId="0" fillId="0" borderId="17" xfId="0" applyNumberFormat="1" applyFont="1" applyBorder="1" applyAlignment="1">
      <alignment/>
    </xf>
    <xf numFmtId="186" fontId="0" fillId="0" borderId="14" xfId="0" applyNumberFormat="1" applyFont="1" applyBorder="1" applyAlignment="1">
      <alignment horizontal="right"/>
    </xf>
    <xf numFmtId="186" fontId="0" fillId="0" borderId="14" xfId="0" applyNumberFormat="1" applyFont="1" applyBorder="1" applyAlignment="1">
      <alignment/>
    </xf>
    <xf numFmtId="186" fontId="7" fillId="0" borderId="18" xfId="0" applyNumberFormat="1" applyFont="1" applyBorder="1" applyAlignment="1">
      <alignment horizontal="right"/>
    </xf>
    <xf numFmtId="186" fontId="7" fillId="0" borderId="0" xfId="0" applyNumberFormat="1" applyFont="1" applyBorder="1" applyAlignment="1">
      <alignment horizontal="right"/>
    </xf>
    <xf numFmtId="186" fontId="0" fillId="0" borderId="17" xfId="0" applyNumberFormat="1" applyFont="1" applyBorder="1" applyAlignment="1">
      <alignment horizontal="right"/>
    </xf>
    <xf numFmtId="186" fontId="7" fillId="0" borderId="0" xfId="0" applyNumberFormat="1" applyFont="1" applyAlignment="1">
      <alignment horizontal="right"/>
    </xf>
    <xf numFmtId="186" fontId="7" fillId="0" borderId="23" xfId="0" applyNumberFormat="1" applyFont="1" applyBorder="1" applyAlignment="1">
      <alignment horizontal="right"/>
    </xf>
    <xf numFmtId="186" fontId="7" fillId="0" borderId="12" xfId="0" applyNumberFormat="1" applyFont="1" applyBorder="1" applyAlignment="1">
      <alignment horizontal="right"/>
    </xf>
    <xf numFmtId="186" fontId="7" fillId="0" borderId="18" xfId="0" applyNumberFormat="1" applyFont="1" applyBorder="1" applyAlignment="1">
      <alignment/>
    </xf>
    <xf numFmtId="186" fontId="5" fillId="0" borderId="14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/>
    </xf>
    <xf numFmtId="9" fontId="7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0" xfId="0" applyFont="1" applyAlignment="1">
      <alignment/>
    </xf>
    <xf numFmtId="10" fontId="0" fillId="0" borderId="17" xfId="0" applyNumberFormat="1" applyFont="1" applyBorder="1" applyAlignment="1">
      <alignment horizontal="left"/>
    </xf>
    <xf numFmtId="0" fontId="0" fillId="0" borderId="17" xfId="0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186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0" fontId="0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186" fontId="0" fillId="0" borderId="14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3" fontId="0" fillId="0" borderId="14" xfId="0" applyNumberFormat="1" applyFont="1" applyBorder="1" applyAlignment="1">
      <alignment/>
    </xf>
    <xf numFmtId="186" fontId="0" fillId="0" borderId="14" xfId="0" applyNumberFormat="1" applyFont="1" applyBorder="1" applyAlignment="1">
      <alignment/>
    </xf>
    <xf numFmtId="186" fontId="0" fillId="0" borderId="17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0" xfId="0" applyNumberFormat="1" applyFont="1" applyAlignment="1">
      <alignment/>
    </xf>
    <xf numFmtId="2" fontId="0" fillId="0" borderId="14" xfId="0" applyNumberFormat="1" applyFont="1" applyBorder="1" applyAlignment="1">
      <alignment/>
    </xf>
    <xf numFmtId="181" fontId="0" fillId="0" borderId="14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10" fontId="0" fillId="0" borderId="14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 horizontal="left"/>
    </xf>
    <xf numFmtId="186" fontId="0" fillId="0" borderId="13" xfId="0" applyNumberFormat="1" applyFont="1" applyBorder="1" applyAlignment="1">
      <alignment/>
    </xf>
    <xf numFmtId="186" fontId="0" fillId="0" borderId="18" xfId="0" applyNumberFormat="1" applyFont="1" applyBorder="1" applyAlignment="1">
      <alignment/>
    </xf>
    <xf numFmtId="186" fontId="0" fillId="0" borderId="40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183" fontId="0" fillId="0" borderId="14" xfId="0" applyNumberFormat="1" applyFont="1" applyBorder="1" applyAlignment="1">
      <alignment/>
    </xf>
    <xf numFmtId="183" fontId="0" fillId="0" borderId="26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 horizontal="right"/>
    </xf>
    <xf numFmtId="181" fontId="0" fillId="0" borderId="12" xfId="0" applyNumberFormat="1" applyFont="1" applyBorder="1" applyAlignment="1">
      <alignment/>
    </xf>
    <xf numFmtId="184" fontId="0" fillId="0" borderId="26" xfId="0" applyNumberFormat="1" applyFont="1" applyBorder="1" applyAlignment="1">
      <alignment/>
    </xf>
    <xf numFmtId="184" fontId="0" fillId="0" borderId="12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186" fontId="0" fillId="0" borderId="35" xfId="0" applyNumberFormat="1" applyFont="1" applyBorder="1" applyAlignment="1">
      <alignment/>
    </xf>
    <xf numFmtId="186" fontId="0" fillId="0" borderId="31" xfId="0" applyNumberFormat="1" applyFont="1" applyBorder="1" applyAlignment="1">
      <alignment/>
    </xf>
    <xf numFmtId="182" fontId="0" fillId="0" borderId="14" xfId="0" applyNumberFormat="1" applyFont="1" applyBorder="1" applyAlignment="1">
      <alignment/>
    </xf>
    <xf numFmtId="182" fontId="0" fillId="0" borderId="26" xfId="0" applyNumberFormat="1" applyFont="1" applyBorder="1" applyAlignment="1">
      <alignment/>
    </xf>
    <xf numFmtId="182" fontId="0" fillId="0" borderId="12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0" fontId="0" fillId="0" borderId="12" xfId="0" applyNumberFormat="1" applyFont="1" applyBorder="1" applyAlignment="1">
      <alignment/>
    </xf>
    <xf numFmtId="10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10" fontId="0" fillId="0" borderId="13" xfId="0" applyNumberFormat="1" applyFont="1" applyBorder="1" applyAlignment="1">
      <alignment/>
    </xf>
    <xf numFmtId="10" fontId="0" fillId="0" borderId="18" xfId="0" applyNumberFormat="1" applyFont="1" applyBorder="1" applyAlignment="1">
      <alignment/>
    </xf>
    <xf numFmtId="10" fontId="0" fillId="0" borderId="40" xfId="0" applyNumberFormat="1" applyFont="1" applyBorder="1" applyAlignment="1">
      <alignment/>
    </xf>
    <xf numFmtId="182" fontId="0" fillId="0" borderId="18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8" xfId="0" applyFont="1" applyBorder="1" applyAlignment="1">
      <alignment horizontal="left"/>
    </xf>
    <xf numFmtId="2" fontId="0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3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40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81" fontId="0" fillId="0" borderId="2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0" fontId="62" fillId="0" borderId="0" xfId="0" applyFont="1" applyAlignment="1">
      <alignment horizontal="left" vertical="center"/>
    </xf>
    <xf numFmtId="0" fontId="0" fillId="0" borderId="0" xfId="0" applyAlignment="1">
      <alignment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3" fillId="0" borderId="42" xfId="0" applyFont="1" applyBorder="1" applyAlignment="1">
      <alignment horizontal="right" vertical="center"/>
    </xf>
    <xf numFmtId="0" fontId="63" fillId="0" borderId="43" xfId="0" applyFont="1" applyBorder="1" applyAlignment="1">
      <alignment horizontal="right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64" fillId="0" borderId="44" xfId="0" applyFont="1" applyBorder="1" applyAlignment="1">
      <alignment horizontal="right" vertical="center"/>
    </xf>
    <xf numFmtId="0" fontId="64" fillId="0" borderId="45" xfId="0" applyFont="1" applyBorder="1" applyAlignment="1">
      <alignment horizontal="right" vertical="center"/>
    </xf>
    <xf numFmtId="0" fontId="63" fillId="0" borderId="45" xfId="0" applyFont="1" applyBorder="1" applyAlignment="1">
      <alignment horizontal="right" vertical="center"/>
    </xf>
    <xf numFmtId="0" fontId="64" fillId="0" borderId="31" xfId="0" applyFont="1" applyBorder="1" applyAlignment="1">
      <alignment horizontal="center" vertical="center"/>
    </xf>
    <xf numFmtId="0" fontId="64" fillId="0" borderId="31" xfId="0" applyFont="1" applyBorder="1" applyAlignment="1">
      <alignment horizontal="right" vertical="center"/>
    </xf>
    <xf numFmtId="0" fontId="64" fillId="0" borderId="46" xfId="0" applyFont="1" applyBorder="1" applyAlignment="1">
      <alignment horizontal="right" vertical="center"/>
    </xf>
    <xf numFmtId="0" fontId="64" fillId="0" borderId="47" xfId="0" applyFont="1" applyBorder="1" applyAlignment="1">
      <alignment horizontal="right" vertical="center"/>
    </xf>
    <xf numFmtId="0" fontId="63" fillId="0" borderId="47" xfId="0" applyFont="1" applyBorder="1" applyAlignment="1">
      <alignment horizontal="right" vertical="center"/>
    </xf>
    <xf numFmtId="0" fontId="64" fillId="0" borderId="48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44" xfId="0" applyFont="1" applyBorder="1" applyAlignment="1">
      <alignment horizontal="right" vertical="center"/>
    </xf>
    <xf numFmtId="0" fontId="65" fillId="0" borderId="45" xfId="0" applyFont="1" applyBorder="1" applyAlignment="1">
      <alignment horizontal="right" vertical="center"/>
    </xf>
    <xf numFmtId="0" fontId="63" fillId="0" borderId="0" xfId="0" applyFont="1" applyAlignment="1">
      <alignment vertical="center"/>
    </xf>
    <xf numFmtId="0" fontId="63" fillId="0" borderId="44" xfId="0" applyFont="1" applyBorder="1" applyAlignment="1">
      <alignment horizontal="right" vertical="center"/>
    </xf>
    <xf numFmtId="0" fontId="64" fillId="0" borderId="49" xfId="0" applyFont="1" applyBorder="1" applyAlignment="1">
      <alignment horizontal="center" vertical="center"/>
    </xf>
    <xf numFmtId="0" fontId="63" fillId="0" borderId="50" xfId="0" applyFont="1" applyBorder="1" applyAlignment="1">
      <alignment vertical="center"/>
    </xf>
    <xf numFmtId="0" fontId="63" fillId="0" borderId="51" xfId="0" applyFont="1" applyBorder="1" applyAlignment="1">
      <alignment horizontal="right" vertical="center"/>
    </xf>
    <xf numFmtId="9" fontId="64" fillId="0" borderId="44" xfId="0" applyNumberFormat="1" applyFont="1" applyBorder="1" applyAlignment="1">
      <alignment horizontal="right" vertical="center"/>
    </xf>
    <xf numFmtId="9" fontId="64" fillId="0" borderId="45" xfId="0" applyNumberFormat="1" applyFont="1" applyBorder="1" applyAlignment="1">
      <alignment horizontal="right" vertical="center"/>
    </xf>
    <xf numFmtId="0" fontId="64" fillId="0" borderId="50" xfId="0" applyFont="1" applyBorder="1" applyAlignment="1">
      <alignment vertical="center"/>
    </xf>
    <xf numFmtId="0" fontId="0" fillId="0" borderId="0" xfId="0" applyAlignment="1">
      <alignment wrapText="1"/>
    </xf>
    <xf numFmtId="0" fontId="66" fillId="0" borderId="0" xfId="0" applyFont="1" applyAlignment="1">
      <alignment horizontal="justify" vertical="center" wrapText="1"/>
    </xf>
    <xf numFmtId="0" fontId="67" fillId="0" borderId="0" xfId="0" applyFont="1" applyAlignment="1">
      <alignment horizontal="justify" vertical="center" wrapText="1"/>
    </xf>
    <xf numFmtId="0" fontId="66" fillId="0" borderId="0" xfId="0" applyFont="1" applyAlignment="1">
      <alignment vertical="center" wrapText="1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right" vertical="center"/>
    </xf>
    <xf numFmtId="0" fontId="69" fillId="0" borderId="25" xfId="0" applyFont="1" applyBorder="1" applyAlignment="1">
      <alignment horizontal="center" vertical="center"/>
    </xf>
    <xf numFmtId="0" fontId="69" fillId="0" borderId="52" xfId="0" applyFont="1" applyBorder="1" applyAlignment="1">
      <alignment horizontal="center" vertical="center"/>
    </xf>
    <xf numFmtId="0" fontId="69" fillId="0" borderId="53" xfId="0" applyFont="1" applyBorder="1" applyAlignment="1">
      <alignment horizontal="center" vertical="center"/>
    </xf>
    <xf numFmtId="0" fontId="70" fillId="0" borderId="19" xfId="0" applyFont="1" applyBorder="1" applyAlignment="1">
      <alignment horizontal="right" vertical="center"/>
    </xf>
    <xf numFmtId="0" fontId="70" fillId="0" borderId="19" xfId="0" applyFont="1" applyBorder="1" applyAlignment="1">
      <alignment vertical="center"/>
    </xf>
    <xf numFmtId="0" fontId="70" fillId="0" borderId="52" xfId="0" applyFont="1" applyBorder="1" applyAlignment="1">
      <alignment horizontal="right" vertical="center"/>
    </xf>
    <xf numFmtId="0" fontId="69" fillId="0" borderId="29" xfId="0" applyFont="1" applyBorder="1" applyAlignment="1">
      <alignment horizontal="center" vertical="center"/>
    </xf>
    <xf numFmtId="0" fontId="70" fillId="0" borderId="54" xfId="0" applyFont="1" applyBorder="1" applyAlignment="1">
      <alignment horizontal="right" vertical="center"/>
    </xf>
    <xf numFmtId="0" fontId="69" fillId="0" borderId="32" xfId="0" applyFont="1" applyBorder="1" applyAlignment="1">
      <alignment horizontal="center" vertical="center"/>
    </xf>
    <xf numFmtId="0" fontId="70" fillId="0" borderId="31" xfId="0" applyFont="1" applyBorder="1" applyAlignment="1">
      <alignment horizontal="right" vertical="center"/>
    </xf>
    <xf numFmtId="0" fontId="70" fillId="0" borderId="31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71" fillId="0" borderId="19" xfId="0" applyFont="1" applyBorder="1" applyAlignment="1">
      <alignment horizontal="right" vertical="center"/>
    </xf>
    <xf numFmtId="0" fontId="69" fillId="0" borderId="55" xfId="0" applyFont="1" applyBorder="1" applyAlignment="1">
      <alignment horizontal="right" vertical="center"/>
    </xf>
    <xf numFmtId="0" fontId="69" fillId="0" borderId="56" xfId="0" applyFont="1" applyBorder="1" applyAlignment="1">
      <alignment horizontal="right" vertical="center"/>
    </xf>
    <xf numFmtId="0" fontId="69" fillId="0" borderId="30" xfId="0" applyFont="1" applyBorder="1" applyAlignment="1">
      <alignment horizontal="center" vertical="center"/>
    </xf>
    <xf numFmtId="9" fontId="70" fillId="0" borderId="54" xfId="0" applyNumberFormat="1" applyFont="1" applyBorder="1" applyAlignment="1">
      <alignment horizontal="right" vertical="center"/>
    </xf>
    <xf numFmtId="0" fontId="69" fillId="0" borderId="33" xfId="0" applyFont="1" applyBorder="1" applyAlignment="1">
      <alignment horizontal="center" vertical="center"/>
    </xf>
    <xf numFmtId="9" fontId="71" fillId="0" borderId="54" xfId="0" applyNumberFormat="1" applyFont="1" applyBorder="1" applyAlignment="1">
      <alignment horizontal="right" vertical="center"/>
    </xf>
    <xf numFmtId="0" fontId="69" fillId="0" borderId="31" xfId="0" applyFont="1" applyBorder="1" applyAlignment="1">
      <alignment vertical="center"/>
    </xf>
    <xf numFmtId="0" fontId="69" fillId="0" borderId="31" xfId="0" applyFont="1" applyBorder="1" applyAlignment="1">
      <alignment horizontal="right" vertical="center"/>
    </xf>
    <xf numFmtId="10" fontId="70" fillId="0" borderId="54" xfId="0" applyNumberFormat="1" applyFont="1" applyBorder="1" applyAlignment="1">
      <alignment horizontal="right" vertical="center"/>
    </xf>
    <xf numFmtId="0" fontId="70" fillId="0" borderId="50" xfId="0" applyFont="1" applyBorder="1" applyAlignment="1">
      <alignment vertical="center"/>
    </xf>
    <xf numFmtId="0" fontId="71" fillId="0" borderId="19" xfId="0" applyFont="1" applyBorder="1" applyAlignment="1">
      <alignment vertical="center"/>
    </xf>
    <xf numFmtId="0" fontId="67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9" fontId="66" fillId="0" borderId="0" xfId="0" applyNumberFormat="1" applyFont="1" applyAlignment="1">
      <alignment horizontal="center" vertical="center" wrapText="1"/>
    </xf>
    <xf numFmtId="10" fontId="66" fillId="0" borderId="0" xfId="0" applyNumberFormat="1" applyFont="1" applyAlignment="1">
      <alignment horizontal="center" vertical="center" wrapText="1"/>
    </xf>
    <xf numFmtId="9" fontId="67" fillId="0" borderId="0" xfId="0" applyNumberFormat="1" applyFont="1" applyAlignment="1">
      <alignment horizontal="center" vertical="center" wrapText="1"/>
    </xf>
    <xf numFmtId="9" fontId="63" fillId="0" borderId="45" xfId="0" applyNumberFormat="1" applyFont="1" applyBorder="1" applyAlignment="1">
      <alignment horizontal="right" vertical="center"/>
    </xf>
    <xf numFmtId="10" fontId="64" fillId="0" borderId="44" xfId="0" applyNumberFormat="1" applyFont="1" applyBorder="1" applyAlignment="1">
      <alignment horizontal="right" vertical="center"/>
    </xf>
    <xf numFmtId="10" fontId="67" fillId="0" borderId="0" xfId="0" applyNumberFormat="1" applyFont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57" xfId="0" applyFont="1" applyBorder="1" applyAlignment="1">
      <alignment horizontal="justify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justify" vertical="center" wrapText="1"/>
    </xf>
    <xf numFmtId="0" fontId="66" fillId="0" borderId="58" xfId="0" applyFont="1" applyBorder="1" applyAlignment="1">
      <alignment horizontal="center" vertical="center" wrapText="1"/>
    </xf>
    <xf numFmtId="0" fontId="66" fillId="0" borderId="59" xfId="0" applyFont="1" applyBorder="1" applyAlignment="1">
      <alignment horizontal="center" vertical="center" wrapText="1"/>
    </xf>
    <xf numFmtId="0" fontId="66" fillId="0" borderId="60" xfId="0" applyFont="1" applyBorder="1" applyAlignment="1">
      <alignment horizontal="justify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8" fillId="0" borderId="61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70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70" fillId="0" borderId="0" xfId="0" applyFont="1" applyBorder="1" applyAlignment="1">
      <alignment vertical="center"/>
    </xf>
    <xf numFmtId="0" fontId="69" fillId="0" borderId="0" xfId="0" applyFont="1" applyBorder="1" applyAlignment="1">
      <alignment horizontal="right" vertical="center"/>
    </xf>
    <xf numFmtId="0" fontId="69" fillId="0" borderId="0" xfId="0" applyFont="1" applyBorder="1" applyAlignment="1">
      <alignment vertical="center"/>
    </xf>
    <xf numFmtId="0" fontId="71" fillId="0" borderId="52" xfId="0" applyFont="1" applyBorder="1" applyAlignment="1">
      <alignment horizontal="right" vertical="center"/>
    </xf>
    <xf numFmtId="0" fontId="71" fillId="0" borderId="0" xfId="0" applyFont="1" applyBorder="1" applyAlignment="1">
      <alignment horizontal="right" vertical="center"/>
    </xf>
    <xf numFmtId="193" fontId="70" fillId="0" borderId="0" xfId="0" applyNumberFormat="1" applyFont="1" applyBorder="1" applyAlignment="1">
      <alignment horizontal="right" vertical="center"/>
    </xf>
    <xf numFmtId="2" fontId="70" fillId="0" borderId="0" xfId="0" applyNumberFormat="1" applyFont="1" applyBorder="1" applyAlignment="1">
      <alignment horizontal="right" vertical="center"/>
    </xf>
    <xf numFmtId="2" fontId="69" fillId="0" borderId="31" xfId="0" applyNumberFormat="1" applyFont="1" applyBorder="1" applyAlignment="1">
      <alignment horizontal="right" vertical="center"/>
    </xf>
    <xf numFmtId="2" fontId="69" fillId="0" borderId="62" xfId="0" applyNumberFormat="1" applyFont="1" applyBorder="1" applyAlignment="1">
      <alignment horizontal="right" vertical="center"/>
    </xf>
    <xf numFmtId="2" fontId="70" fillId="0" borderId="54" xfId="0" applyNumberFormat="1" applyFont="1" applyBorder="1" applyAlignment="1">
      <alignment horizontal="right" vertical="center"/>
    </xf>
    <xf numFmtId="2" fontId="70" fillId="0" borderId="31" xfId="0" applyNumberFormat="1" applyFont="1" applyBorder="1" applyAlignment="1">
      <alignment horizontal="right" vertical="center"/>
    </xf>
    <xf numFmtId="2" fontId="70" fillId="0" borderId="62" xfId="0" applyNumberFormat="1" applyFont="1" applyBorder="1" applyAlignment="1">
      <alignment horizontal="right" vertical="center"/>
    </xf>
    <xf numFmtId="2" fontId="70" fillId="0" borderId="19" xfId="0" applyNumberFormat="1" applyFont="1" applyBorder="1" applyAlignment="1">
      <alignment horizontal="right" vertical="center"/>
    </xf>
    <xf numFmtId="2" fontId="70" fillId="0" borderId="52" xfId="0" applyNumberFormat="1" applyFont="1" applyBorder="1" applyAlignment="1">
      <alignment horizontal="right" vertical="center"/>
    </xf>
    <xf numFmtId="193" fontId="70" fillId="0" borderId="31" xfId="0" applyNumberFormat="1" applyFont="1" applyBorder="1" applyAlignment="1">
      <alignment horizontal="right" vertical="center"/>
    </xf>
    <xf numFmtId="193" fontId="70" fillId="0" borderId="19" xfId="0" applyNumberFormat="1" applyFont="1" applyBorder="1" applyAlignment="1">
      <alignment horizontal="right" vertical="center"/>
    </xf>
    <xf numFmtId="2" fontId="69" fillId="0" borderId="0" xfId="0" applyNumberFormat="1" applyFont="1" applyBorder="1" applyAlignment="1">
      <alignment horizontal="right" vertical="center"/>
    </xf>
    <xf numFmtId="2" fontId="69" fillId="0" borderId="54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71" fillId="0" borderId="53" xfId="0" applyFont="1" applyBorder="1" applyAlignment="1">
      <alignment horizontal="right" vertical="center"/>
    </xf>
    <xf numFmtId="0" fontId="70" fillId="0" borderId="29" xfId="0" applyFont="1" applyBorder="1" applyAlignment="1">
      <alignment horizontal="right" vertical="center"/>
    </xf>
    <xf numFmtId="9" fontId="70" fillId="0" borderId="0" xfId="0" applyNumberFormat="1" applyFont="1" applyBorder="1" applyAlignment="1">
      <alignment horizontal="right" vertical="center"/>
    </xf>
    <xf numFmtId="0" fontId="70" fillId="0" borderId="32" xfId="0" applyFont="1" applyBorder="1" applyAlignment="1">
      <alignment horizontal="right" vertical="center"/>
    </xf>
    <xf numFmtId="9" fontId="71" fillId="0" borderId="0" xfId="0" applyNumberFormat="1" applyFont="1" applyBorder="1" applyAlignment="1">
      <alignment horizontal="right" vertical="center"/>
    </xf>
    <xf numFmtId="0" fontId="70" fillId="0" borderId="32" xfId="0" applyFont="1" applyBorder="1" applyAlignment="1">
      <alignment vertical="center"/>
    </xf>
    <xf numFmtId="194" fontId="70" fillId="0" borderId="0" xfId="0" applyNumberFormat="1" applyFont="1" applyBorder="1" applyAlignment="1">
      <alignment horizontal="right" vertical="center"/>
    </xf>
    <xf numFmtId="194" fontId="70" fillId="0" borderId="54" xfId="0" applyNumberFormat="1" applyFont="1" applyBorder="1" applyAlignment="1">
      <alignment horizontal="right" vertical="center"/>
    </xf>
    <xf numFmtId="10" fontId="70" fillId="0" borderId="0" xfId="0" applyNumberFormat="1" applyFont="1" applyBorder="1" applyAlignment="1">
      <alignment horizontal="right" vertical="center"/>
    </xf>
    <xf numFmtId="0" fontId="70" fillId="0" borderId="29" xfId="0" applyFont="1" applyBorder="1" applyAlignment="1">
      <alignment vertical="center"/>
    </xf>
    <xf numFmtId="9" fontId="66" fillId="0" borderId="58" xfId="0" applyNumberFormat="1" applyFont="1" applyBorder="1" applyAlignment="1">
      <alignment horizontal="center" vertical="center" wrapText="1"/>
    </xf>
    <xf numFmtId="9" fontId="66" fillId="0" borderId="0" xfId="0" applyNumberFormat="1" applyFont="1" applyBorder="1" applyAlignment="1">
      <alignment horizontal="center" vertical="center" wrapText="1"/>
    </xf>
    <xf numFmtId="9" fontId="66" fillId="0" borderId="12" xfId="0" applyNumberFormat="1" applyFont="1" applyBorder="1" applyAlignment="1">
      <alignment horizontal="center" vertical="center" wrapText="1"/>
    </xf>
    <xf numFmtId="0" fontId="67" fillId="0" borderId="61" xfId="0" applyFont="1" applyBorder="1" applyAlignment="1">
      <alignment horizontal="justify" vertical="center" wrapText="1"/>
    </xf>
    <xf numFmtId="9" fontId="67" fillId="0" borderId="10" xfId="0" applyNumberFormat="1" applyFont="1" applyBorder="1" applyAlignment="1">
      <alignment horizontal="center" vertical="center" wrapText="1"/>
    </xf>
    <xf numFmtId="10" fontId="0" fillId="0" borderId="13" xfId="0" applyNumberFormat="1" applyBorder="1" applyAlignment="1">
      <alignment horizontal="center"/>
    </xf>
    <xf numFmtId="0" fontId="67" fillId="0" borderId="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2" fontId="66" fillId="0" borderId="58" xfId="0" applyNumberFormat="1" applyFont="1" applyBorder="1" applyAlignment="1">
      <alignment horizontal="center" vertical="center" wrapText="1"/>
    </xf>
    <xf numFmtId="2" fontId="67" fillId="0" borderId="10" xfId="0" applyNumberFormat="1" applyFont="1" applyBorder="1" applyAlignment="1">
      <alignment horizontal="center" vertical="center" wrapText="1"/>
    </xf>
    <xf numFmtId="2" fontId="66" fillId="0" borderId="12" xfId="0" applyNumberFormat="1" applyFont="1" applyBorder="1" applyAlignment="1">
      <alignment horizontal="center" vertical="center" wrapText="1"/>
    </xf>
    <xf numFmtId="2" fontId="67" fillId="0" borderId="13" xfId="0" applyNumberFormat="1" applyFont="1" applyBorder="1" applyAlignment="1">
      <alignment horizontal="center" vertical="center" wrapText="1"/>
    </xf>
    <xf numFmtId="182" fontId="66" fillId="0" borderId="58" xfId="0" applyNumberFormat="1" applyFont="1" applyBorder="1" applyAlignment="1">
      <alignment horizontal="center" vertical="center" wrapText="1"/>
    </xf>
    <xf numFmtId="2" fontId="66" fillId="0" borderId="59" xfId="0" applyNumberFormat="1" applyFont="1" applyBorder="1" applyAlignment="1">
      <alignment horizontal="center" vertical="center" wrapText="1"/>
    </xf>
    <xf numFmtId="182" fontId="66" fillId="0" borderId="59" xfId="0" applyNumberFormat="1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/>
    </xf>
    <xf numFmtId="0" fontId="71" fillId="0" borderId="19" xfId="0" applyFont="1" applyBorder="1" applyAlignment="1">
      <alignment vertical="center"/>
    </xf>
    <xf numFmtId="0" fontId="70" fillId="0" borderId="31" xfId="0" applyFont="1" applyBorder="1" applyAlignment="1">
      <alignment vertical="center"/>
    </xf>
    <xf numFmtId="0" fontId="71" fillId="0" borderId="53" xfId="0" applyFont="1" applyBorder="1" applyAlignment="1">
      <alignment vertical="center"/>
    </xf>
    <xf numFmtId="0" fontId="68" fillId="0" borderId="57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urrency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tabSelected="1" zoomScalePageLayoutView="0" workbookViewId="0" topLeftCell="A1">
      <selection activeCell="C39" sqref="C39"/>
    </sheetView>
  </sheetViews>
  <sheetFormatPr defaultColWidth="11.00390625" defaultRowHeight="12"/>
  <cols>
    <col min="1" max="2" width="9.625" style="0" customWidth="1"/>
    <col min="3" max="3" width="38.25390625" style="0" customWidth="1"/>
    <col min="4" max="9" width="15.25390625" style="0" customWidth="1"/>
    <col min="10" max="16384" width="9.625" style="0" customWidth="1"/>
  </cols>
  <sheetData>
    <row r="1" spans="2:9" ht="13.5" thickBot="1">
      <c r="B1" s="270" t="s">
        <v>101</v>
      </c>
      <c r="C1" s="271"/>
      <c r="D1" s="271"/>
      <c r="E1" s="271"/>
      <c r="F1" s="271"/>
      <c r="G1" s="271"/>
      <c r="H1" s="271"/>
      <c r="I1" s="271"/>
    </row>
    <row r="2" spans="2:9" ht="12.75">
      <c r="B2" s="272"/>
      <c r="C2" s="273"/>
      <c r="D2" s="274" t="s">
        <v>102</v>
      </c>
      <c r="E2" s="275" t="s">
        <v>103</v>
      </c>
      <c r="F2" s="275" t="s">
        <v>104</v>
      </c>
      <c r="G2" s="275" t="s">
        <v>105</v>
      </c>
      <c r="H2" s="275" t="s">
        <v>106</v>
      </c>
      <c r="I2" s="275" t="s">
        <v>107</v>
      </c>
    </row>
    <row r="3" spans="2:9" ht="12.75">
      <c r="B3" s="276"/>
      <c r="C3" s="277"/>
      <c r="D3" s="278" t="s">
        <v>108</v>
      </c>
      <c r="E3" s="279" t="s">
        <v>108</v>
      </c>
      <c r="F3" s="279" t="s">
        <v>175</v>
      </c>
      <c r="G3" s="279" t="s">
        <v>175</v>
      </c>
      <c r="H3" s="279" t="s">
        <v>175</v>
      </c>
      <c r="I3" s="280" t="s">
        <v>176</v>
      </c>
    </row>
    <row r="4" spans="2:9" ht="12.75">
      <c r="B4" s="276"/>
      <c r="C4" s="277" t="s">
        <v>179</v>
      </c>
      <c r="D4" s="295">
        <v>0</v>
      </c>
      <c r="E4" s="296">
        <v>0.35</v>
      </c>
      <c r="F4" s="334">
        <v>0</v>
      </c>
      <c r="G4" s="334">
        <v>0.35</v>
      </c>
      <c r="H4" s="296">
        <v>0.35</v>
      </c>
      <c r="I4" s="296">
        <v>0.35</v>
      </c>
    </row>
    <row r="5" spans="2:9" ht="13.5" thickBot="1">
      <c r="B5" s="281"/>
      <c r="C5" s="282"/>
      <c r="D5" s="283"/>
      <c r="E5" s="284"/>
      <c r="F5" s="284" t="s">
        <v>109</v>
      </c>
      <c r="G5" s="284" t="s">
        <v>109</v>
      </c>
      <c r="H5" s="285" t="s">
        <v>110</v>
      </c>
      <c r="I5" s="284" t="s">
        <v>110</v>
      </c>
    </row>
    <row r="6" spans="2:9" ht="12.75">
      <c r="B6" s="286">
        <v>1</v>
      </c>
      <c r="C6" s="287" t="s">
        <v>22</v>
      </c>
      <c r="D6" s="278">
        <v>1000</v>
      </c>
      <c r="E6" s="278">
        <v>1000</v>
      </c>
      <c r="F6" s="278">
        <v>1000</v>
      </c>
      <c r="G6" s="278">
        <v>1000</v>
      </c>
      <c r="H6" s="278">
        <v>1000</v>
      </c>
      <c r="I6" s="278">
        <v>1000</v>
      </c>
    </row>
    <row r="7" spans="2:9" ht="12.75">
      <c r="B7" s="286">
        <v>2</v>
      </c>
      <c r="C7" s="287" t="s">
        <v>23</v>
      </c>
      <c r="D7" s="288">
        <v>0</v>
      </c>
      <c r="E7" s="289">
        <v>0</v>
      </c>
      <c r="F7" s="289">
        <v>130</v>
      </c>
      <c r="G7" s="289">
        <v>130</v>
      </c>
      <c r="H7" s="289">
        <v>140</v>
      </c>
      <c r="I7" s="289">
        <v>280</v>
      </c>
    </row>
    <row r="8" spans="2:9" ht="12.75">
      <c r="B8" s="286">
        <v>3</v>
      </c>
      <c r="C8" s="287" t="s">
        <v>24</v>
      </c>
      <c r="D8" s="278">
        <f aca="true" t="shared" si="0" ref="D8:I8">D6-D7</f>
        <v>1000</v>
      </c>
      <c r="E8" s="278">
        <f t="shared" si="0"/>
        <v>1000</v>
      </c>
      <c r="F8" s="278">
        <f t="shared" si="0"/>
        <v>870</v>
      </c>
      <c r="G8" s="278">
        <f t="shared" si="0"/>
        <v>870</v>
      </c>
      <c r="H8" s="278">
        <f t="shared" si="0"/>
        <v>860</v>
      </c>
      <c r="I8" s="278">
        <f t="shared" si="0"/>
        <v>720</v>
      </c>
    </row>
    <row r="9" spans="2:9" ht="12.75">
      <c r="B9" s="286">
        <v>4</v>
      </c>
      <c r="C9" s="287" t="s">
        <v>111</v>
      </c>
      <c r="D9" s="288">
        <f>D8*0</f>
        <v>0</v>
      </c>
      <c r="E9" s="289">
        <f>E8*0.35</f>
        <v>350</v>
      </c>
      <c r="F9" s="288">
        <f>F8*0</f>
        <v>0</v>
      </c>
      <c r="G9" s="289">
        <f>G8*0.35</f>
        <v>304.5</v>
      </c>
      <c r="H9" s="289">
        <f>H8*0.35</f>
        <v>301</v>
      </c>
      <c r="I9" s="289">
        <f>I8*0.35</f>
        <v>251.99999999999997</v>
      </c>
    </row>
    <row r="10" spans="2:9" ht="12.75">
      <c r="B10" s="286">
        <v>5</v>
      </c>
      <c r="C10" s="287" t="s">
        <v>26</v>
      </c>
      <c r="D10" s="278">
        <f aca="true" t="shared" si="1" ref="D10:I10">D8-D9</f>
        <v>1000</v>
      </c>
      <c r="E10" s="278">
        <f t="shared" si="1"/>
        <v>650</v>
      </c>
      <c r="F10" s="278">
        <f t="shared" si="1"/>
        <v>870</v>
      </c>
      <c r="G10" s="278">
        <f t="shared" si="1"/>
        <v>565.5</v>
      </c>
      <c r="H10" s="278">
        <f t="shared" si="1"/>
        <v>559</v>
      </c>
      <c r="I10" s="278">
        <f t="shared" si="1"/>
        <v>468</v>
      </c>
    </row>
    <row r="11" spans="2:9" ht="12.75">
      <c r="B11" s="286">
        <v>6</v>
      </c>
      <c r="C11" s="287" t="s">
        <v>112</v>
      </c>
      <c r="D11" s="278">
        <v>200</v>
      </c>
      <c r="E11" s="279">
        <v>200</v>
      </c>
      <c r="F11" s="279">
        <v>200</v>
      </c>
      <c r="G11" s="279">
        <v>200</v>
      </c>
      <c r="H11" s="279">
        <v>200</v>
      </c>
      <c r="I11" s="279">
        <v>200</v>
      </c>
    </row>
    <row r="12" spans="2:9" ht="12.75">
      <c r="B12" s="286">
        <v>7</v>
      </c>
      <c r="C12" s="287" t="s">
        <v>113</v>
      </c>
      <c r="D12" s="288">
        <v>-200</v>
      </c>
      <c r="E12" s="289">
        <v>-200</v>
      </c>
      <c r="F12" s="289">
        <v>-200</v>
      </c>
      <c r="G12" s="289">
        <v>-200</v>
      </c>
      <c r="H12" s="289">
        <v>-200</v>
      </c>
      <c r="I12" s="289">
        <v>-200</v>
      </c>
    </row>
    <row r="13" spans="2:9" ht="12.75">
      <c r="B13" s="286">
        <v>8</v>
      </c>
      <c r="C13" s="290" t="s">
        <v>114</v>
      </c>
      <c r="D13" s="291">
        <f aca="true" t="shared" si="2" ref="D13:I13">SUM(D10:D12)</f>
        <v>1000</v>
      </c>
      <c r="E13" s="291">
        <f t="shared" si="2"/>
        <v>650</v>
      </c>
      <c r="F13" s="291">
        <f t="shared" si="2"/>
        <v>870</v>
      </c>
      <c r="G13" s="291">
        <f t="shared" si="2"/>
        <v>565.5</v>
      </c>
      <c r="H13" s="291">
        <f t="shared" si="2"/>
        <v>559</v>
      </c>
      <c r="I13" s="291">
        <f t="shared" si="2"/>
        <v>468</v>
      </c>
    </row>
    <row r="14" spans="2:9" ht="12.75">
      <c r="B14" s="286">
        <v>9</v>
      </c>
      <c r="C14" s="290" t="s">
        <v>34</v>
      </c>
      <c r="D14" s="291">
        <f>D13</f>
        <v>1000</v>
      </c>
      <c r="E14" s="291">
        <f>E13</f>
        <v>650</v>
      </c>
      <c r="F14" s="291">
        <f>F13+F7*(1-0)</f>
        <v>1000</v>
      </c>
      <c r="G14" s="291">
        <f>G13+G7*(1-0.35)</f>
        <v>650</v>
      </c>
      <c r="H14" s="291">
        <f>H13+H7*(1-0.35)</f>
        <v>650</v>
      </c>
      <c r="I14" s="291">
        <f>I13+I7*(1-0.35)</f>
        <v>650</v>
      </c>
    </row>
    <row r="15" spans="2:9" ht="13.5" thickBot="1">
      <c r="B15" s="292">
        <v>10</v>
      </c>
      <c r="C15" s="293" t="s">
        <v>75</v>
      </c>
      <c r="D15" s="294">
        <f aca="true" t="shared" si="3" ref="D15:I15">D13+D7</f>
        <v>1000</v>
      </c>
      <c r="E15" s="294">
        <f t="shared" si="3"/>
        <v>650</v>
      </c>
      <c r="F15" s="294">
        <f t="shared" si="3"/>
        <v>1000</v>
      </c>
      <c r="G15" s="294">
        <f t="shared" si="3"/>
        <v>695.5</v>
      </c>
      <c r="H15" s="294">
        <f t="shared" si="3"/>
        <v>699</v>
      </c>
      <c r="I15" s="294">
        <f t="shared" si="3"/>
        <v>748</v>
      </c>
    </row>
    <row r="16" spans="2:9" ht="12.75">
      <c r="B16" s="286">
        <v>11</v>
      </c>
      <c r="C16" s="287" t="s">
        <v>115</v>
      </c>
      <c r="D16" s="278">
        <v>1</v>
      </c>
      <c r="E16" s="279">
        <v>1</v>
      </c>
      <c r="F16" s="279">
        <v>1</v>
      </c>
      <c r="G16" s="279">
        <v>1</v>
      </c>
      <c r="H16" s="279">
        <v>1</v>
      </c>
      <c r="I16" s="279">
        <v>1</v>
      </c>
    </row>
    <row r="17" spans="2:9" ht="12.75">
      <c r="B17" s="286">
        <v>12</v>
      </c>
      <c r="C17" s="287" t="s">
        <v>116</v>
      </c>
      <c r="D17" s="295">
        <v>0.12</v>
      </c>
      <c r="E17" s="296">
        <v>0.12</v>
      </c>
      <c r="F17" s="296">
        <v>0.12</v>
      </c>
      <c r="G17" s="296">
        <v>0.12</v>
      </c>
      <c r="H17" s="296">
        <v>0.12</v>
      </c>
      <c r="I17" s="296">
        <v>0.12</v>
      </c>
    </row>
    <row r="18" spans="2:9" ht="12.75">
      <c r="B18" s="286">
        <v>13</v>
      </c>
      <c r="C18" s="287" t="s">
        <v>178</v>
      </c>
      <c r="D18" s="295">
        <v>0.08</v>
      </c>
      <c r="E18" s="296">
        <v>0.08</v>
      </c>
      <c r="F18" s="296">
        <v>0.08</v>
      </c>
      <c r="G18" s="296">
        <v>0.08</v>
      </c>
      <c r="H18" s="296">
        <v>0.08</v>
      </c>
      <c r="I18" s="296">
        <v>0.08</v>
      </c>
    </row>
    <row r="19" spans="2:9" ht="12.75">
      <c r="B19" s="286">
        <v>14</v>
      </c>
      <c r="C19" s="287" t="s">
        <v>39</v>
      </c>
      <c r="D19" s="295">
        <f aca="true" t="shared" si="4" ref="D19:I19">D17+D18*D16</f>
        <v>0.2</v>
      </c>
      <c r="E19" s="295">
        <f t="shared" si="4"/>
        <v>0.2</v>
      </c>
      <c r="F19" s="295">
        <f t="shared" si="4"/>
        <v>0.2</v>
      </c>
      <c r="G19" s="295">
        <f t="shared" si="4"/>
        <v>0.2</v>
      </c>
      <c r="H19" s="295">
        <f t="shared" si="4"/>
        <v>0.2</v>
      </c>
      <c r="I19" s="295">
        <f t="shared" si="4"/>
        <v>0.2</v>
      </c>
    </row>
    <row r="20" spans="2:9" ht="13.5" thickBot="1">
      <c r="B20" s="292">
        <v>15</v>
      </c>
      <c r="C20" s="293" t="s">
        <v>117</v>
      </c>
      <c r="D20" s="294">
        <f aca="true" t="shared" si="5" ref="D20:I20">D14/D19</f>
        <v>5000</v>
      </c>
      <c r="E20" s="294">
        <f t="shared" si="5"/>
        <v>3250</v>
      </c>
      <c r="F20" s="294">
        <f t="shared" si="5"/>
        <v>5000</v>
      </c>
      <c r="G20" s="294">
        <f t="shared" si="5"/>
        <v>3250</v>
      </c>
      <c r="H20" s="294">
        <f t="shared" si="5"/>
        <v>3250</v>
      </c>
      <c r="I20" s="294">
        <f t="shared" si="5"/>
        <v>3250</v>
      </c>
    </row>
    <row r="21" spans="2:9" ht="12.75">
      <c r="B21" s="286">
        <v>16</v>
      </c>
      <c r="C21" s="287" t="s">
        <v>55</v>
      </c>
      <c r="D21" s="278">
        <v>0</v>
      </c>
      <c r="E21" s="279">
        <v>0</v>
      </c>
      <c r="F21" s="279">
        <v>1000</v>
      </c>
      <c r="G21" s="279">
        <v>1000</v>
      </c>
      <c r="H21" s="279">
        <v>1000</v>
      </c>
      <c r="I21" s="279">
        <v>2000</v>
      </c>
    </row>
    <row r="22" spans="2:9" ht="12.75">
      <c r="B22" s="286">
        <v>17</v>
      </c>
      <c r="C22" s="287" t="s">
        <v>56</v>
      </c>
      <c r="D22" s="278"/>
      <c r="E22" s="279"/>
      <c r="F22" s="296">
        <v>0.13</v>
      </c>
      <c r="G22" s="296">
        <v>0.13</v>
      </c>
      <c r="H22" s="296">
        <v>0.14</v>
      </c>
      <c r="I22" s="296">
        <v>0.14</v>
      </c>
    </row>
    <row r="23" spans="2:9" ht="12.75">
      <c r="B23" s="286">
        <v>18</v>
      </c>
      <c r="C23" s="287" t="s">
        <v>118</v>
      </c>
      <c r="D23" s="278"/>
      <c r="E23" s="279"/>
      <c r="F23" s="279">
        <f>(F22-F17)/F18</f>
        <v>0.1250000000000001</v>
      </c>
      <c r="G23" s="279">
        <f>(G22-G17)/G18</f>
        <v>0.1250000000000001</v>
      </c>
      <c r="H23" s="279">
        <f>(H22-H17)/H18</f>
        <v>0.2500000000000002</v>
      </c>
      <c r="I23" s="279">
        <f>(I22-I17)/I18</f>
        <v>0.2500000000000002</v>
      </c>
    </row>
    <row r="24" spans="2:9" ht="12.75">
      <c r="B24" s="286">
        <v>19</v>
      </c>
      <c r="C24" s="287" t="s">
        <v>119</v>
      </c>
      <c r="D24" s="278">
        <f aca="true" t="shared" si="6" ref="D24:I24">D21*D4</f>
        <v>0</v>
      </c>
      <c r="E24" s="278">
        <f t="shared" si="6"/>
        <v>0</v>
      </c>
      <c r="F24" s="278">
        <f t="shared" si="6"/>
        <v>0</v>
      </c>
      <c r="G24" s="278">
        <f t="shared" si="6"/>
        <v>350</v>
      </c>
      <c r="H24" s="278">
        <f t="shared" si="6"/>
        <v>350</v>
      </c>
      <c r="I24" s="278">
        <f t="shared" si="6"/>
        <v>700</v>
      </c>
    </row>
    <row r="25" spans="2:9" ht="12.75">
      <c r="B25" s="286">
        <v>20</v>
      </c>
      <c r="C25" s="287" t="s">
        <v>84</v>
      </c>
      <c r="D25" s="278">
        <f aca="true" t="shared" si="7" ref="D25:I25">D20+D24</f>
        <v>5000</v>
      </c>
      <c r="E25" s="278">
        <f t="shared" si="7"/>
        <v>3250</v>
      </c>
      <c r="F25" s="278">
        <f t="shared" si="7"/>
        <v>5000</v>
      </c>
      <c r="G25" s="278">
        <f t="shared" si="7"/>
        <v>3600</v>
      </c>
      <c r="H25" s="278">
        <f t="shared" si="7"/>
        <v>3600</v>
      </c>
      <c r="I25" s="278">
        <f t="shared" si="7"/>
        <v>3950</v>
      </c>
    </row>
    <row r="26" spans="2:9" ht="13.5" thickBot="1">
      <c r="B26" s="292">
        <v>21</v>
      </c>
      <c r="C26" s="297" t="s">
        <v>120</v>
      </c>
      <c r="D26" s="294">
        <f aca="true" t="shared" si="8" ref="D26:I26">D25-D21</f>
        <v>5000</v>
      </c>
      <c r="E26" s="294">
        <f t="shared" si="8"/>
        <v>3250</v>
      </c>
      <c r="F26" s="294">
        <f t="shared" si="8"/>
        <v>4000</v>
      </c>
      <c r="G26" s="294">
        <f t="shared" si="8"/>
        <v>2600</v>
      </c>
      <c r="H26" s="294">
        <f t="shared" si="8"/>
        <v>2600</v>
      </c>
      <c r="I26" s="294">
        <f t="shared" si="8"/>
        <v>1950</v>
      </c>
    </row>
    <row r="27" spans="2:9" ht="12.75">
      <c r="B27" s="286">
        <v>22</v>
      </c>
      <c r="C27" s="287" t="s">
        <v>121</v>
      </c>
      <c r="D27" s="278">
        <f aca="true" t="shared" si="9" ref="D27:I27">((D16)*(D26+D21*(1-D4))-D23*D21*(1-D4))/D26</f>
        <v>1</v>
      </c>
      <c r="E27" s="278">
        <f t="shared" si="9"/>
        <v>1</v>
      </c>
      <c r="F27" s="278">
        <f t="shared" si="9"/>
        <v>1.21875</v>
      </c>
      <c r="G27" s="278">
        <f t="shared" si="9"/>
        <v>1.21875</v>
      </c>
      <c r="H27" s="278">
        <f t="shared" si="9"/>
        <v>1.1875</v>
      </c>
      <c r="I27" s="278">
        <f t="shared" si="9"/>
        <v>1.4999999999999998</v>
      </c>
    </row>
    <row r="28" spans="2:9" ht="12.75">
      <c r="B28" s="286">
        <v>23</v>
      </c>
      <c r="C28" s="287" t="s">
        <v>63</v>
      </c>
      <c r="D28" s="335">
        <f aca="true" t="shared" si="10" ref="D28:I28">D17+D27*D18</f>
        <v>0.2</v>
      </c>
      <c r="E28" s="335">
        <f t="shared" si="10"/>
        <v>0.2</v>
      </c>
      <c r="F28" s="335">
        <f t="shared" si="10"/>
        <v>0.2175</v>
      </c>
      <c r="G28" s="335">
        <f t="shared" si="10"/>
        <v>0.2175</v>
      </c>
      <c r="H28" s="335">
        <f t="shared" si="10"/>
        <v>0.215</v>
      </c>
      <c r="I28" s="335">
        <f t="shared" si="10"/>
        <v>0.24</v>
      </c>
    </row>
    <row r="29" spans="2:9" ht="13.5" thickBot="1">
      <c r="B29" s="292">
        <v>24</v>
      </c>
      <c r="C29" s="293" t="s">
        <v>122</v>
      </c>
      <c r="D29" s="294">
        <f aca="true" t="shared" si="11" ref="D29:I29">D13/D28</f>
        <v>5000</v>
      </c>
      <c r="E29" s="294">
        <f t="shared" si="11"/>
        <v>3250</v>
      </c>
      <c r="F29" s="294">
        <f t="shared" si="11"/>
        <v>4000</v>
      </c>
      <c r="G29" s="294">
        <f t="shared" si="11"/>
        <v>2600</v>
      </c>
      <c r="H29" s="294">
        <f t="shared" si="11"/>
        <v>2600</v>
      </c>
      <c r="I29" s="294">
        <f t="shared" si="11"/>
        <v>1950</v>
      </c>
    </row>
    <row r="30" spans="2:9" ht="12.75">
      <c r="B30" s="286">
        <v>25</v>
      </c>
      <c r="C30" s="287" t="s">
        <v>85</v>
      </c>
      <c r="D30" s="335">
        <f aca="true" t="shared" si="12" ref="D30:I30">(D21*D22*(1-D4)+D26*D28)/(D21+D26)</f>
        <v>0.2</v>
      </c>
      <c r="E30" s="335">
        <f t="shared" si="12"/>
        <v>0.2</v>
      </c>
      <c r="F30" s="335">
        <f t="shared" si="12"/>
        <v>0.2</v>
      </c>
      <c r="G30" s="335">
        <f t="shared" si="12"/>
        <v>0.18055555555555555</v>
      </c>
      <c r="H30" s="335">
        <f t="shared" si="12"/>
        <v>0.18055555555555555</v>
      </c>
      <c r="I30" s="335">
        <f t="shared" si="12"/>
        <v>0.16455696202531644</v>
      </c>
    </row>
    <row r="31" spans="2:9" ht="12.75">
      <c r="B31" s="286">
        <v>26</v>
      </c>
      <c r="C31" s="287" t="s">
        <v>123</v>
      </c>
      <c r="D31" s="278">
        <f aca="true" t="shared" si="13" ref="D31:I31">D14/D30</f>
        <v>5000</v>
      </c>
      <c r="E31" s="278">
        <f t="shared" si="13"/>
        <v>3250</v>
      </c>
      <c r="F31" s="278">
        <f t="shared" si="13"/>
        <v>5000</v>
      </c>
      <c r="G31" s="278">
        <f t="shared" si="13"/>
        <v>3600</v>
      </c>
      <c r="H31" s="278">
        <f t="shared" si="13"/>
        <v>3600</v>
      </c>
      <c r="I31" s="278">
        <f t="shared" si="13"/>
        <v>3950.0000000000005</v>
      </c>
    </row>
    <row r="32" spans="2:9" ht="13.5" thickBot="1">
      <c r="B32" s="292">
        <v>27</v>
      </c>
      <c r="C32" s="293" t="s">
        <v>124</v>
      </c>
      <c r="D32" s="294">
        <f aca="true" t="shared" si="14" ref="D32:I32">D31-D21</f>
        <v>5000</v>
      </c>
      <c r="E32" s="294">
        <f t="shared" si="14"/>
        <v>3250</v>
      </c>
      <c r="F32" s="294">
        <f t="shared" si="14"/>
        <v>4000</v>
      </c>
      <c r="G32" s="294">
        <f t="shared" si="14"/>
        <v>2600</v>
      </c>
      <c r="H32" s="294">
        <f t="shared" si="14"/>
        <v>2600</v>
      </c>
      <c r="I32" s="294">
        <f t="shared" si="14"/>
        <v>1950.0000000000005</v>
      </c>
    </row>
    <row r="33" spans="2:9" ht="12.75">
      <c r="B33" s="286">
        <v>28</v>
      </c>
      <c r="C33" s="287" t="s">
        <v>125</v>
      </c>
      <c r="D33" s="335">
        <f aca="true" t="shared" si="15" ref="D33:I33">(D21*D22+D26*D28)/(D21+D29)</f>
        <v>0.2</v>
      </c>
      <c r="E33" s="335">
        <f t="shared" si="15"/>
        <v>0.2</v>
      </c>
      <c r="F33" s="335">
        <f t="shared" si="15"/>
        <v>0.2</v>
      </c>
      <c r="G33" s="335">
        <f t="shared" si="15"/>
        <v>0.19319444444444445</v>
      </c>
      <c r="H33" s="335">
        <f t="shared" si="15"/>
        <v>0.19416666666666665</v>
      </c>
      <c r="I33" s="335">
        <f t="shared" si="15"/>
        <v>0.18936708860759494</v>
      </c>
    </row>
    <row r="34" spans="2:9" ht="12.75">
      <c r="B34" s="286">
        <v>29</v>
      </c>
      <c r="C34" s="287" t="s">
        <v>126</v>
      </c>
      <c r="D34" s="278">
        <f aca="true" t="shared" si="16" ref="D34:I34">D15/D33</f>
        <v>5000</v>
      </c>
      <c r="E34" s="278">
        <f t="shared" si="16"/>
        <v>3250</v>
      </c>
      <c r="F34" s="278">
        <f t="shared" si="16"/>
        <v>5000</v>
      </c>
      <c r="G34" s="278">
        <f t="shared" si="16"/>
        <v>3600</v>
      </c>
      <c r="H34" s="278">
        <f t="shared" si="16"/>
        <v>3600.0000000000005</v>
      </c>
      <c r="I34" s="278">
        <f t="shared" si="16"/>
        <v>3950</v>
      </c>
    </row>
    <row r="35" spans="2:9" ht="13.5" thickBot="1">
      <c r="B35" s="292">
        <v>30</v>
      </c>
      <c r="C35" s="293" t="s">
        <v>127</v>
      </c>
      <c r="D35" s="294">
        <f aca="true" t="shared" si="17" ref="D35:I35">D34-D21</f>
        <v>5000</v>
      </c>
      <c r="E35" s="294">
        <f t="shared" si="17"/>
        <v>3250</v>
      </c>
      <c r="F35" s="294">
        <f t="shared" si="17"/>
        <v>4000</v>
      </c>
      <c r="G35" s="294">
        <f t="shared" si="17"/>
        <v>2600</v>
      </c>
      <c r="H35" s="294">
        <f t="shared" si="17"/>
        <v>2600.0000000000005</v>
      </c>
      <c r="I35" s="294">
        <f t="shared" si="17"/>
        <v>1950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F24" sqref="F24"/>
    </sheetView>
  </sheetViews>
  <sheetFormatPr defaultColWidth="11.00390625" defaultRowHeight="12"/>
  <cols>
    <col min="1" max="1" width="12.75390625" style="0" customWidth="1"/>
    <col min="2" max="2" width="22.25390625" style="0" customWidth="1"/>
    <col min="3" max="4" width="18.00390625" style="0" customWidth="1"/>
    <col min="5" max="5" width="3.375" style="0" customWidth="1"/>
    <col min="6" max="7" width="18.00390625" style="0" customWidth="1"/>
    <col min="8" max="16384" width="9.625" style="0" customWidth="1"/>
  </cols>
  <sheetData>
    <row r="2" spans="2:7" ht="12.75">
      <c r="B2" s="270" t="s">
        <v>128</v>
      </c>
      <c r="C2" s="271"/>
      <c r="D2" s="271"/>
      <c r="E2" s="271"/>
      <c r="F2" s="271"/>
      <c r="G2" s="271"/>
    </row>
    <row r="3" spans="2:7" ht="12.75">
      <c r="B3" s="271"/>
      <c r="C3" s="402" t="s">
        <v>129</v>
      </c>
      <c r="D3" s="402"/>
      <c r="F3" s="402" t="s">
        <v>130</v>
      </c>
      <c r="G3" s="402"/>
    </row>
    <row r="4" spans="2:7" ht="12.75">
      <c r="B4" s="298"/>
      <c r="C4" s="337" t="s">
        <v>131</v>
      </c>
      <c r="D4" s="337" t="s">
        <v>132</v>
      </c>
      <c r="E4" s="330"/>
      <c r="F4" s="337" t="s">
        <v>131</v>
      </c>
      <c r="G4" s="337" t="s">
        <v>132</v>
      </c>
    </row>
    <row r="5" spans="2:7" ht="12.75">
      <c r="B5" s="298"/>
      <c r="C5" s="329" t="s">
        <v>108</v>
      </c>
      <c r="D5" s="329" t="s">
        <v>174</v>
      </c>
      <c r="E5" s="329"/>
      <c r="F5" s="329" t="s">
        <v>108</v>
      </c>
      <c r="G5" s="329" t="s">
        <v>174</v>
      </c>
    </row>
    <row r="6" spans="2:7" ht="12.75">
      <c r="B6" s="299" t="s">
        <v>114</v>
      </c>
      <c r="C6" s="330">
        <v>1000</v>
      </c>
      <c r="D6" s="330">
        <v>870</v>
      </c>
      <c r="E6" s="330"/>
      <c r="F6" s="330">
        <v>650</v>
      </c>
      <c r="G6" s="330">
        <v>565.5</v>
      </c>
    </row>
    <row r="7" spans="2:7" ht="12.75">
      <c r="B7" s="299" t="s">
        <v>111</v>
      </c>
      <c r="C7" s="330">
        <v>0</v>
      </c>
      <c r="D7" s="330">
        <v>0</v>
      </c>
      <c r="E7" s="330"/>
      <c r="F7" s="330">
        <v>350</v>
      </c>
      <c r="G7" s="330">
        <v>304.5</v>
      </c>
    </row>
    <row r="8" spans="2:7" ht="10.5" customHeight="1">
      <c r="B8" s="299" t="s">
        <v>133</v>
      </c>
      <c r="C8" s="330">
        <v>0</v>
      </c>
      <c r="D8" s="330">
        <v>130</v>
      </c>
      <c r="E8" s="330"/>
      <c r="F8" s="330">
        <v>0</v>
      </c>
      <c r="G8" s="330">
        <v>130</v>
      </c>
    </row>
    <row r="9" spans="2:7" ht="12.75">
      <c r="B9" s="339" t="s">
        <v>134</v>
      </c>
      <c r="C9" s="340">
        <f>SUM(C6:C8)</f>
        <v>1000</v>
      </c>
      <c r="D9" s="340">
        <f>SUM(D6:D8)</f>
        <v>1000</v>
      </c>
      <c r="E9" s="340"/>
      <c r="F9" s="340">
        <f>SUM(F6:F8)</f>
        <v>1000</v>
      </c>
      <c r="G9" s="341">
        <f>SUM(G6:G8)</f>
        <v>1000</v>
      </c>
    </row>
    <row r="10" spans="2:7" ht="12.75">
      <c r="B10" s="299" t="s">
        <v>63</v>
      </c>
      <c r="C10" s="331">
        <v>0.2</v>
      </c>
      <c r="D10" s="332">
        <v>0.2175</v>
      </c>
      <c r="E10" s="332"/>
      <c r="F10" s="331">
        <v>0.2</v>
      </c>
      <c r="G10" s="332">
        <v>0.2175</v>
      </c>
    </row>
    <row r="11" spans="2:7" ht="12.75">
      <c r="B11" s="299" t="s">
        <v>56</v>
      </c>
      <c r="C11" s="330" t="s">
        <v>135</v>
      </c>
      <c r="D11" s="331">
        <v>0.13</v>
      </c>
      <c r="E11" s="331"/>
      <c r="F11" s="330" t="s">
        <v>135</v>
      </c>
      <c r="G11" s="331">
        <v>0.13</v>
      </c>
    </row>
    <row r="12" spans="2:7" ht="13.5">
      <c r="B12" s="300" t="s">
        <v>136</v>
      </c>
      <c r="C12" s="330" t="s">
        <v>135</v>
      </c>
      <c r="D12" s="330" t="s">
        <v>135</v>
      </c>
      <c r="E12" s="330"/>
      <c r="F12" s="333">
        <v>0.2</v>
      </c>
      <c r="G12" s="336">
        <v>0.2175</v>
      </c>
    </row>
    <row r="13" spans="2:7" ht="12.75">
      <c r="B13" s="342" t="s">
        <v>137</v>
      </c>
      <c r="C13" s="343">
        <f>C6/C10</f>
        <v>5000</v>
      </c>
      <c r="D13" s="343">
        <f>D6/D10</f>
        <v>4000</v>
      </c>
      <c r="E13" s="343"/>
      <c r="F13" s="343">
        <f>F6/F10</f>
        <v>3250</v>
      </c>
      <c r="G13" s="344">
        <f>G6/G10</f>
        <v>2600</v>
      </c>
    </row>
    <row r="14" spans="2:7" ht="12.75">
      <c r="B14" s="345" t="s">
        <v>138</v>
      </c>
      <c r="C14" s="346" t="s">
        <v>135</v>
      </c>
      <c r="D14" s="346">
        <f>D8/D11</f>
        <v>1000</v>
      </c>
      <c r="E14" s="346"/>
      <c r="F14" s="346" t="s">
        <v>135</v>
      </c>
      <c r="G14" s="347">
        <f>G8/G11</f>
        <v>1000</v>
      </c>
    </row>
    <row r="15" spans="2:7" ht="13.5">
      <c r="B15" s="345" t="s">
        <v>139</v>
      </c>
      <c r="C15" s="346" t="s">
        <v>135</v>
      </c>
      <c r="D15" s="346" t="s">
        <v>135</v>
      </c>
      <c r="E15" s="346"/>
      <c r="F15" s="346">
        <f>F7/F12</f>
        <v>1750</v>
      </c>
      <c r="G15" s="347">
        <f>G7/G12</f>
        <v>1400</v>
      </c>
    </row>
    <row r="16" spans="2:7" s="3" customFormat="1" ht="12.75">
      <c r="B16" s="348" t="s">
        <v>140</v>
      </c>
      <c r="C16" s="349">
        <f>SUM(C13:C15)</f>
        <v>5000</v>
      </c>
      <c r="D16" s="349">
        <f>SUM(D13:D15)</f>
        <v>5000</v>
      </c>
      <c r="E16" s="349"/>
      <c r="F16" s="349">
        <f>SUM(F13:F15)</f>
        <v>5000</v>
      </c>
      <c r="G16" s="350">
        <f>SUM(G13:G15)</f>
        <v>5000</v>
      </c>
    </row>
    <row r="17" spans="2:7" ht="12.75">
      <c r="B17" s="301" t="s">
        <v>141</v>
      </c>
      <c r="C17" s="330" t="s">
        <v>102</v>
      </c>
      <c r="D17" s="330" t="s">
        <v>104</v>
      </c>
      <c r="E17" s="330"/>
      <c r="F17" s="330" t="s">
        <v>103</v>
      </c>
      <c r="G17" s="330" t="s">
        <v>105</v>
      </c>
    </row>
    <row r="18" spans="2:7" ht="12.75">
      <c r="B18" s="298"/>
      <c r="C18" s="298"/>
      <c r="E18" s="351" t="s">
        <v>142</v>
      </c>
      <c r="F18" s="298"/>
      <c r="G18" s="298"/>
    </row>
    <row r="19" spans="2:7" ht="10.5">
      <c r="B19" s="271"/>
      <c r="C19" s="271"/>
      <c r="D19" s="271"/>
      <c r="E19" s="271"/>
      <c r="F19" s="271"/>
      <c r="G19" s="271"/>
    </row>
  </sheetData>
  <sheetProtection/>
  <mergeCells count="2">
    <mergeCell ref="C3:D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9"/>
  <sheetViews>
    <sheetView zoomScalePageLayoutView="0" workbookViewId="0" topLeftCell="A32">
      <selection activeCell="M52" sqref="M52"/>
    </sheetView>
  </sheetViews>
  <sheetFormatPr defaultColWidth="11.00390625" defaultRowHeight="12"/>
  <cols>
    <col min="1" max="1" width="9.625" style="0" customWidth="1"/>
    <col min="2" max="2" width="6.625" style="0" customWidth="1"/>
    <col min="3" max="3" width="9.625" style="0" customWidth="1"/>
    <col min="4" max="4" width="24.375" style="0" bestFit="1" customWidth="1"/>
    <col min="5" max="9" width="12.625" style="0" customWidth="1"/>
    <col min="10" max="16384" width="9.625" style="0" customWidth="1"/>
  </cols>
  <sheetData>
    <row r="1" spans="8:9" ht="10.5">
      <c r="H1" s="352" t="s">
        <v>180</v>
      </c>
      <c r="I1" s="353">
        <v>0.05</v>
      </c>
    </row>
    <row r="2" spans="2:9" ht="13.5" thickBot="1">
      <c r="B2" s="302" t="s">
        <v>143</v>
      </c>
      <c r="C2" s="271"/>
      <c r="D2" s="271"/>
      <c r="E2" s="271"/>
      <c r="F2" s="271"/>
      <c r="G2" s="271"/>
      <c r="H2" s="271"/>
      <c r="I2" s="271"/>
    </row>
    <row r="3" spans="2:9" ht="12.75" thickBot="1">
      <c r="B3" s="303"/>
      <c r="C3" s="304"/>
      <c r="D3" s="304"/>
      <c r="E3" s="305">
        <v>0</v>
      </c>
      <c r="F3" s="306">
        <v>1</v>
      </c>
      <c r="G3" s="306">
        <v>2</v>
      </c>
      <c r="H3" s="306">
        <v>3</v>
      </c>
      <c r="I3" s="306">
        <v>4</v>
      </c>
    </row>
    <row r="4" spans="2:9" ht="12">
      <c r="B4" s="307">
        <v>1</v>
      </c>
      <c r="C4" s="308"/>
      <c r="D4" s="309" t="s">
        <v>144</v>
      </c>
      <c r="E4" s="308">
        <v>100</v>
      </c>
      <c r="F4" s="308">
        <f aca="true" t="shared" si="0" ref="F4:I6">E4*(1+$I$1)</f>
        <v>105</v>
      </c>
      <c r="G4" s="308">
        <f t="shared" si="0"/>
        <v>110.25</v>
      </c>
      <c r="H4" s="368">
        <f t="shared" si="0"/>
        <v>115.7625</v>
      </c>
      <c r="I4" s="369">
        <f t="shared" si="0"/>
        <v>121.55062500000001</v>
      </c>
    </row>
    <row r="5" spans="2:9" ht="12">
      <c r="B5" s="311">
        <v>2</v>
      </c>
      <c r="C5" s="354"/>
      <c r="D5" s="356" t="s">
        <v>6</v>
      </c>
      <c r="E5" s="354">
        <v>900</v>
      </c>
      <c r="F5" s="354">
        <f t="shared" si="0"/>
        <v>945</v>
      </c>
      <c r="G5" s="354">
        <f t="shared" si="0"/>
        <v>992.25</v>
      </c>
      <c r="H5" s="362">
        <f t="shared" si="0"/>
        <v>1041.8625</v>
      </c>
      <c r="I5" s="365">
        <f t="shared" si="0"/>
        <v>1093.955625</v>
      </c>
    </row>
    <row r="6" spans="2:9" ht="12">
      <c r="B6" s="311">
        <v>3</v>
      </c>
      <c r="C6" s="354"/>
      <c r="D6" s="356" t="s">
        <v>7</v>
      </c>
      <c r="E6" s="354">
        <v>240</v>
      </c>
      <c r="F6" s="354">
        <f t="shared" si="0"/>
        <v>252</v>
      </c>
      <c r="G6" s="354">
        <f t="shared" si="0"/>
        <v>264.6</v>
      </c>
      <c r="H6" s="362">
        <f t="shared" si="0"/>
        <v>277.83000000000004</v>
      </c>
      <c r="I6" s="365">
        <f t="shared" si="0"/>
        <v>291.72150000000005</v>
      </c>
    </row>
    <row r="7" spans="2:9" ht="12">
      <c r="B7" s="311">
        <v>4</v>
      </c>
      <c r="C7" s="354"/>
      <c r="D7" s="356" t="s">
        <v>8</v>
      </c>
      <c r="E7" s="354">
        <f>E9+E8</f>
        <v>1200</v>
      </c>
      <c r="F7" s="354">
        <f>F9+F8</f>
        <v>1410</v>
      </c>
      <c r="G7" s="354">
        <f>G9+G8</f>
        <v>1630.5</v>
      </c>
      <c r="H7" s="362">
        <f>H9+H8</f>
        <v>1862.025</v>
      </c>
      <c r="I7" s="365">
        <f>I9+I8</f>
        <v>2105.1262500000003</v>
      </c>
    </row>
    <row r="8" spans="2:9" ht="12">
      <c r="B8" s="311">
        <v>5</v>
      </c>
      <c r="C8" s="354"/>
      <c r="D8" s="356" t="s">
        <v>177</v>
      </c>
      <c r="E8" s="354">
        <v>200</v>
      </c>
      <c r="F8" s="354">
        <f>E8+F19</f>
        <v>410</v>
      </c>
      <c r="G8" s="354">
        <f>F8+G19</f>
        <v>630.5</v>
      </c>
      <c r="H8" s="362">
        <f>G8+H19</f>
        <v>862.025</v>
      </c>
      <c r="I8" s="365">
        <f>H8+I19</f>
        <v>1105.12625</v>
      </c>
    </row>
    <row r="9" spans="2:9" ht="12">
      <c r="B9" s="311">
        <v>6</v>
      </c>
      <c r="C9" s="354"/>
      <c r="D9" s="356" t="s">
        <v>10</v>
      </c>
      <c r="E9" s="354">
        <v>1000</v>
      </c>
      <c r="F9" s="354">
        <f>E9</f>
        <v>1000</v>
      </c>
      <c r="G9" s="354">
        <f>F9</f>
        <v>1000</v>
      </c>
      <c r="H9" s="362">
        <f>G9</f>
        <v>1000</v>
      </c>
      <c r="I9" s="365">
        <f>H9</f>
        <v>1000</v>
      </c>
    </row>
    <row r="10" spans="2:9" ht="12.75" thickBot="1">
      <c r="B10" s="311">
        <v>7</v>
      </c>
      <c r="C10" s="357"/>
      <c r="D10" s="358" t="s">
        <v>11</v>
      </c>
      <c r="E10" s="357">
        <f>E4+E5+E6+E9</f>
        <v>2240</v>
      </c>
      <c r="F10" s="357">
        <f>F4+F5+F6+F9</f>
        <v>2302</v>
      </c>
      <c r="G10" s="357">
        <f>G4+G5+G6+G9</f>
        <v>2367.1</v>
      </c>
      <c r="H10" s="372">
        <f>H4+H5+H6+H9</f>
        <v>2435.455</v>
      </c>
      <c r="I10" s="373">
        <f>I4+I5+I6+I9</f>
        <v>2507.22775</v>
      </c>
    </row>
    <row r="11" spans="2:9" ht="12">
      <c r="B11" s="307">
        <v>8</v>
      </c>
      <c r="C11" s="308"/>
      <c r="D11" s="309" t="s">
        <v>12</v>
      </c>
      <c r="E11" s="308">
        <v>240</v>
      </c>
      <c r="F11" s="308">
        <f aca="true" t="shared" si="1" ref="F11:I12">E11*(1+$I$1)</f>
        <v>252</v>
      </c>
      <c r="G11" s="308">
        <f t="shared" si="1"/>
        <v>264.6</v>
      </c>
      <c r="H11" s="368">
        <f t="shared" si="1"/>
        <v>277.83000000000004</v>
      </c>
      <c r="I11" s="369">
        <f t="shared" si="1"/>
        <v>291.72150000000005</v>
      </c>
    </row>
    <row r="12" spans="2:9" ht="12">
      <c r="B12" s="311">
        <v>9</v>
      </c>
      <c r="C12" s="354"/>
      <c r="D12" s="356" t="s">
        <v>183</v>
      </c>
      <c r="E12" s="354">
        <v>500</v>
      </c>
      <c r="F12" s="354">
        <f t="shared" si="1"/>
        <v>525</v>
      </c>
      <c r="G12" s="354">
        <f t="shared" si="1"/>
        <v>551.25</v>
      </c>
      <c r="H12" s="362">
        <f t="shared" si="1"/>
        <v>578.8125</v>
      </c>
      <c r="I12" s="365">
        <f t="shared" si="1"/>
        <v>607.7531250000001</v>
      </c>
    </row>
    <row r="13" spans="2:9" ht="12">
      <c r="B13" s="311">
        <v>10</v>
      </c>
      <c r="C13" s="354"/>
      <c r="D13" s="356" t="s">
        <v>145</v>
      </c>
      <c r="E13" s="354">
        <v>1500</v>
      </c>
      <c r="F13" s="354">
        <f>E13+F24-F29</f>
        <v>1525</v>
      </c>
      <c r="G13" s="354">
        <f>F13+G24-G29</f>
        <v>1551.25</v>
      </c>
      <c r="H13" s="362">
        <f>G13+H24-H29</f>
        <v>1578.8125</v>
      </c>
      <c r="I13" s="365">
        <f>H13+I24-I29</f>
        <v>1607.7531250000004</v>
      </c>
    </row>
    <row r="14" spans="2:9" ht="12.75" thickBot="1">
      <c r="B14" s="313">
        <v>11</v>
      </c>
      <c r="C14" s="325"/>
      <c r="D14" s="324" t="s">
        <v>146</v>
      </c>
      <c r="E14" s="325">
        <f>SUM(E11:E13)</f>
        <v>2240</v>
      </c>
      <c r="F14" s="325">
        <f>SUM(F11:F13)</f>
        <v>2302</v>
      </c>
      <c r="G14" s="325">
        <f>SUM(G11:G13)</f>
        <v>2367.1</v>
      </c>
      <c r="H14" s="363">
        <f>SUM(H11:H13)</f>
        <v>2435.455</v>
      </c>
      <c r="I14" s="364">
        <f>SUM(I11:I13)</f>
        <v>2507.2277500000005</v>
      </c>
    </row>
    <row r="15" spans="2:9" ht="12">
      <c r="B15" s="307"/>
      <c r="C15" s="403" t="s">
        <v>147</v>
      </c>
      <c r="D15" s="403"/>
      <c r="E15" s="317"/>
      <c r="F15" s="317"/>
      <c r="G15" s="317"/>
      <c r="H15" s="317"/>
      <c r="I15" s="359"/>
    </row>
    <row r="16" spans="2:9" ht="12">
      <c r="B16" s="311">
        <v>12</v>
      </c>
      <c r="C16" s="360"/>
      <c r="D16" s="356" t="s">
        <v>18</v>
      </c>
      <c r="E16" s="354">
        <v>3000</v>
      </c>
      <c r="F16" s="354">
        <f aca="true" t="shared" si="2" ref="F16:I19">E16*(1+$I$1)</f>
        <v>3150</v>
      </c>
      <c r="G16" s="354">
        <f t="shared" si="2"/>
        <v>3307.5</v>
      </c>
      <c r="H16" s="362">
        <f t="shared" si="2"/>
        <v>3472.875</v>
      </c>
      <c r="I16" s="365">
        <f t="shared" si="2"/>
        <v>3646.51875</v>
      </c>
    </row>
    <row r="17" spans="2:9" ht="12">
      <c r="B17" s="311">
        <v>13</v>
      </c>
      <c r="C17" s="360"/>
      <c r="D17" s="356" t="s">
        <v>19</v>
      </c>
      <c r="E17" s="354">
        <v>1200</v>
      </c>
      <c r="F17" s="354">
        <f t="shared" si="2"/>
        <v>1260</v>
      </c>
      <c r="G17" s="354">
        <f t="shared" si="2"/>
        <v>1323</v>
      </c>
      <c r="H17" s="362">
        <f t="shared" si="2"/>
        <v>1389.15</v>
      </c>
      <c r="I17" s="365">
        <f t="shared" si="2"/>
        <v>1458.6075</v>
      </c>
    </row>
    <row r="18" spans="2:9" ht="12">
      <c r="B18" s="311">
        <v>14</v>
      </c>
      <c r="C18" s="360"/>
      <c r="D18" s="356" t="s">
        <v>20</v>
      </c>
      <c r="E18" s="354">
        <v>600</v>
      </c>
      <c r="F18" s="354">
        <f t="shared" si="2"/>
        <v>630</v>
      </c>
      <c r="G18" s="354">
        <f t="shared" si="2"/>
        <v>661.5</v>
      </c>
      <c r="H18" s="362">
        <f t="shared" si="2"/>
        <v>694.575</v>
      </c>
      <c r="I18" s="365">
        <f t="shared" si="2"/>
        <v>729.30375</v>
      </c>
    </row>
    <row r="19" spans="2:9" ht="12">
      <c r="B19" s="311">
        <v>15</v>
      </c>
      <c r="C19" s="360"/>
      <c r="D19" s="356" t="s">
        <v>21</v>
      </c>
      <c r="E19" s="354">
        <v>200</v>
      </c>
      <c r="F19" s="354">
        <f t="shared" si="2"/>
        <v>210</v>
      </c>
      <c r="G19" s="354">
        <f t="shared" si="2"/>
        <v>220.5</v>
      </c>
      <c r="H19" s="362">
        <f t="shared" si="2"/>
        <v>231.525</v>
      </c>
      <c r="I19" s="365">
        <f t="shared" si="2"/>
        <v>243.10125000000002</v>
      </c>
    </row>
    <row r="20" spans="2:9" ht="12">
      <c r="B20" s="311">
        <v>16</v>
      </c>
      <c r="C20" s="354"/>
      <c r="D20" s="356" t="s">
        <v>22</v>
      </c>
      <c r="E20" s="354">
        <f>E16-E17-E18-E19</f>
        <v>1000</v>
      </c>
      <c r="F20" s="354">
        <f>F16-F17-F18-F19</f>
        <v>1050</v>
      </c>
      <c r="G20" s="354">
        <f>G16-G17-G18-G19</f>
        <v>1102.5</v>
      </c>
      <c r="H20" s="362">
        <f>H16-H17-H18-H19</f>
        <v>1157.6249999999998</v>
      </c>
      <c r="I20" s="365">
        <f>I16-I17-I18-I19</f>
        <v>1215.5062500000001</v>
      </c>
    </row>
    <row r="21" spans="2:10" ht="12">
      <c r="B21" s="311">
        <v>17</v>
      </c>
      <c r="C21" s="354"/>
      <c r="D21" s="356" t="s">
        <v>23</v>
      </c>
      <c r="E21" s="354">
        <f>F21</f>
        <v>75</v>
      </c>
      <c r="F21" s="354">
        <f>E12*F46</f>
        <v>75</v>
      </c>
      <c r="G21" s="354">
        <f>F12*G46</f>
        <v>78.75</v>
      </c>
      <c r="H21" s="362">
        <f>G12*H46</f>
        <v>82.6875</v>
      </c>
      <c r="I21" s="365">
        <f>H12*I46</f>
        <v>86.82187499999999</v>
      </c>
      <c r="J21" s="355"/>
    </row>
    <row r="22" spans="2:9" ht="12">
      <c r="B22" s="311">
        <v>18</v>
      </c>
      <c r="C22" s="354"/>
      <c r="D22" s="356" t="s">
        <v>24</v>
      </c>
      <c r="E22" s="354">
        <f>E20-E21</f>
        <v>925</v>
      </c>
      <c r="F22" s="354">
        <f>F20-F21</f>
        <v>975</v>
      </c>
      <c r="G22" s="354">
        <f>G20-G21</f>
        <v>1023.75</v>
      </c>
      <c r="H22" s="362">
        <f>H20-H21</f>
        <v>1074.9374999999998</v>
      </c>
      <c r="I22" s="365">
        <f>I20-I21</f>
        <v>1128.684375</v>
      </c>
    </row>
    <row r="23" spans="2:9" ht="12">
      <c r="B23" s="311">
        <v>19</v>
      </c>
      <c r="C23" s="354"/>
      <c r="D23" s="356" t="s">
        <v>111</v>
      </c>
      <c r="E23" s="354">
        <f>E22*0.35</f>
        <v>323.75</v>
      </c>
      <c r="F23" s="354">
        <f>F22*0.35</f>
        <v>341.25</v>
      </c>
      <c r="G23" s="361">
        <f>G22*0.35</f>
        <v>358.3125</v>
      </c>
      <c r="H23" s="362">
        <f>H22*0.35</f>
        <v>376.2281249999999</v>
      </c>
      <c r="I23" s="365">
        <f>I22*0.35</f>
        <v>395.03953125</v>
      </c>
    </row>
    <row r="24" spans="2:9" ht="12.75" thickBot="1">
      <c r="B24" s="313">
        <v>20</v>
      </c>
      <c r="C24" s="314"/>
      <c r="D24" s="315" t="s">
        <v>26</v>
      </c>
      <c r="E24" s="314">
        <f>E22-E23</f>
        <v>601.25</v>
      </c>
      <c r="F24" s="314">
        <f>F22-F23</f>
        <v>633.75</v>
      </c>
      <c r="G24" s="370">
        <f>G22-G23</f>
        <v>665.4375</v>
      </c>
      <c r="H24" s="366">
        <f>H22-H23</f>
        <v>698.7093749999999</v>
      </c>
      <c r="I24" s="367">
        <f>I22-I23</f>
        <v>733.6448437500001</v>
      </c>
    </row>
    <row r="25" spans="2:9" ht="12">
      <c r="B25" s="307">
        <v>21</v>
      </c>
      <c r="C25" s="308"/>
      <c r="D25" s="309" t="s">
        <v>29</v>
      </c>
      <c r="E25" s="308"/>
      <c r="F25" s="308">
        <f>F19</f>
        <v>210</v>
      </c>
      <c r="G25" s="308">
        <f>G19</f>
        <v>220.5</v>
      </c>
      <c r="H25" s="368">
        <f>H19</f>
        <v>231.525</v>
      </c>
      <c r="I25" s="369">
        <f>I19</f>
        <v>243.10125000000002</v>
      </c>
    </row>
    <row r="26" spans="2:9" ht="12">
      <c r="B26" s="311">
        <v>22</v>
      </c>
      <c r="C26" s="354"/>
      <c r="D26" s="356" t="s">
        <v>30</v>
      </c>
      <c r="E26" s="354"/>
      <c r="F26" s="354">
        <f>F12-E12</f>
        <v>25</v>
      </c>
      <c r="G26" s="354">
        <f>G12-F12</f>
        <v>26.25</v>
      </c>
      <c r="H26" s="362">
        <f>H12-G12</f>
        <v>27.5625</v>
      </c>
      <c r="I26" s="365">
        <f>I12-H12</f>
        <v>28.940625000000068</v>
      </c>
    </row>
    <row r="27" spans="2:9" ht="12">
      <c r="B27" s="311">
        <v>23</v>
      </c>
      <c r="C27" s="354"/>
      <c r="D27" s="356" t="s">
        <v>31</v>
      </c>
      <c r="E27" s="354"/>
      <c r="F27" s="354">
        <f>SUM(E4:E6)-E11-SUM(F4:F6)+F11</f>
        <v>-50</v>
      </c>
      <c r="G27" s="354">
        <f>SUM(F4:F6)-F11-SUM(G4:G6)+G11</f>
        <v>-52.499999999999886</v>
      </c>
      <c r="H27" s="362">
        <f>SUM(G4:G6)-G11-SUM(H4:H6)+H11</f>
        <v>-55.124999999999886</v>
      </c>
      <c r="I27" s="365">
        <f>SUM(H4:H6)-H11-SUM(I4:I6)+I11</f>
        <v>-57.88125000000019</v>
      </c>
    </row>
    <row r="28" spans="2:9" ht="12">
      <c r="B28" s="311">
        <v>24</v>
      </c>
      <c r="C28" s="354"/>
      <c r="D28" s="356" t="s">
        <v>32</v>
      </c>
      <c r="E28" s="354"/>
      <c r="F28" s="354">
        <f>E7-F7</f>
        <v>-210</v>
      </c>
      <c r="G28" s="354">
        <f>F7-G7</f>
        <v>-220.5</v>
      </c>
      <c r="H28" s="362">
        <f>G7-H7</f>
        <v>-231.5250000000001</v>
      </c>
      <c r="I28" s="365">
        <f>H7-I7</f>
        <v>-243.10125000000016</v>
      </c>
    </row>
    <row r="29" spans="2:10" ht="13.5" thickBot="1">
      <c r="B29" s="313">
        <v>25</v>
      </c>
      <c r="C29" s="314"/>
      <c r="D29" s="404" t="s">
        <v>65</v>
      </c>
      <c r="E29" s="404"/>
      <c r="F29" s="314">
        <f>SUM(F24:F28)</f>
        <v>608.75</v>
      </c>
      <c r="G29" s="370">
        <f>SUM(G24:G28)</f>
        <v>639.1875000000001</v>
      </c>
      <c r="H29" s="366">
        <f>SUM(H24:H28)</f>
        <v>671.1468749999999</v>
      </c>
      <c r="I29" s="367">
        <f>SUM(I24:I28)</f>
        <v>704.7042187499999</v>
      </c>
      <c r="J29" s="374">
        <f>I29*(1+$I$1)</f>
        <v>739.9394296874999</v>
      </c>
    </row>
    <row r="30" spans="2:10" ht="12.75">
      <c r="B30" s="307">
        <v>26</v>
      </c>
      <c r="C30" s="308"/>
      <c r="D30" s="309" t="s">
        <v>34</v>
      </c>
      <c r="E30" s="308"/>
      <c r="F30" s="308">
        <f>F29+F21*(1-0.35)-F26</f>
        <v>632.5</v>
      </c>
      <c r="G30" s="371">
        <f>G29+G21*(1-0.35)-G26</f>
        <v>664.1250000000001</v>
      </c>
      <c r="H30" s="368">
        <f>H29+H21*(1-0.35)-H26</f>
        <v>697.33125</v>
      </c>
      <c r="I30" s="369">
        <f>I29+I21*(1-0.35)-I26</f>
        <v>732.1978124999998</v>
      </c>
      <c r="J30" s="374">
        <f>I30*(1+$I$1)</f>
        <v>768.8077031249999</v>
      </c>
    </row>
    <row r="31" spans="2:10" ht="12.75">
      <c r="B31" s="311">
        <v>27</v>
      </c>
      <c r="C31" s="354"/>
      <c r="D31" s="356" t="s">
        <v>75</v>
      </c>
      <c r="E31" s="354"/>
      <c r="F31" s="354">
        <f>F29+F32</f>
        <v>658.75</v>
      </c>
      <c r="G31" s="361">
        <f>G29+G32</f>
        <v>691.6875000000001</v>
      </c>
      <c r="H31" s="362">
        <f>H29+H32</f>
        <v>726.2718749999999</v>
      </c>
      <c r="I31" s="365">
        <f>I29+I32</f>
        <v>762.5854687499998</v>
      </c>
      <c r="J31" s="374">
        <f>I31*(1+$I$1)</f>
        <v>800.7147421874998</v>
      </c>
    </row>
    <row r="32" spans="2:10" ht="13.5" thickBot="1">
      <c r="B32" s="313">
        <v>28</v>
      </c>
      <c r="C32" s="314"/>
      <c r="D32" s="315" t="s">
        <v>148</v>
      </c>
      <c r="E32" s="314"/>
      <c r="F32" s="314">
        <f>F21-F26</f>
        <v>50</v>
      </c>
      <c r="G32" s="314">
        <f>G21-G26</f>
        <v>52.5</v>
      </c>
      <c r="H32" s="366">
        <f>H21-H26</f>
        <v>55.125</v>
      </c>
      <c r="I32" s="367">
        <f>I21-I26</f>
        <v>57.88124999999992</v>
      </c>
      <c r="J32" s="374">
        <f>I32*(1+$I$1)</f>
        <v>60.77531249999992</v>
      </c>
    </row>
    <row r="33" spans="2:9" ht="12.75">
      <c r="B33" s="316"/>
      <c r="C33" s="271"/>
      <c r="D33" s="271"/>
      <c r="E33" s="271"/>
      <c r="F33" s="271"/>
      <c r="G33" s="271"/>
      <c r="H33" s="271"/>
      <c r="I33" s="271"/>
    </row>
    <row r="35" spans="2:9" ht="13.5" thickBot="1">
      <c r="B35" s="302" t="s">
        <v>181</v>
      </c>
      <c r="C35" s="271"/>
      <c r="D35" s="271"/>
      <c r="E35" s="271"/>
      <c r="F35" s="271"/>
      <c r="G35" s="271"/>
      <c r="H35" s="271"/>
      <c r="I35" s="271"/>
    </row>
    <row r="36" spans="2:9" ht="12.75" thickBot="1">
      <c r="B36" s="305"/>
      <c r="C36" s="375"/>
      <c r="D36" s="328"/>
      <c r="E36" s="318">
        <v>0</v>
      </c>
      <c r="F36" s="319">
        <v>1</v>
      </c>
      <c r="G36" s="319">
        <v>2</v>
      </c>
      <c r="H36" s="319">
        <v>3</v>
      </c>
      <c r="I36" s="319">
        <v>4</v>
      </c>
    </row>
    <row r="37" spans="2:9" ht="12">
      <c r="B37" s="320">
        <v>1</v>
      </c>
      <c r="C37" s="376"/>
      <c r="D37" s="356" t="s">
        <v>36</v>
      </c>
      <c r="E37" s="354">
        <v>1</v>
      </c>
      <c r="F37" s="354">
        <v>1</v>
      </c>
      <c r="G37" s="354">
        <v>1</v>
      </c>
      <c r="H37" s="354">
        <v>1</v>
      </c>
      <c r="I37" s="312">
        <v>1</v>
      </c>
    </row>
    <row r="38" spans="2:9" ht="12">
      <c r="B38" s="320">
        <v>2</v>
      </c>
      <c r="C38" s="376"/>
      <c r="D38" s="356" t="s">
        <v>116</v>
      </c>
      <c r="E38" s="377">
        <v>0.12</v>
      </c>
      <c r="F38" s="377">
        <v>0.12</v>
      </c>
      <c r="G38" s="377">
        <v>0.12</v>
      </c>
      <c r="H38" s="377">
        <v>0.12</v>
      </c>
      <c r="I38" s="321">
        <v>0.12</v>
      </c>
    </row>
    <row r="39" spans="2:9" ht="12">
      <c r="B39" s="320">
        <v>3</v>
      </c>
      <c r="C39" s="376"/>
      <c r="D39" s="356" t="s">
        <v>182</v>
      </c>
      <c r="E39" s="377">
        <v>0.08</v>
      </c>
      <c r="F39" s="377">
        <v>0.08</v>
      </c>
      <c r="G39" s="377">
        <v>0.08</v>
      </c>
      <c r="H39" s="377">
        <v>0.08</v>
      </c>
      <c r="I39" s="321">
        <v>0.08</v>
      </c>
    </row>
    <row r="40" spans="2:9" ht="12">
      <c r="B40" s="320">
        <v>4</v>
      </c>
      <c r="C40" s="376"/>
      <c r="D40" s="356" t="s">
        <v>39</v>
      </c>
      <c r="E40" s="377">
        <f>E38+E39*E37</f>
        <v>0.2</v>
      </c>
      <c r="F40" s="377">
        <f>F38+F39*F37</f>
        <v>0.2</v>
      </c>
      <c r="G40" s="377">
        <f>G38+G39*G37</f>
        <v>0.2</v>
      </c>
      <c r="H40" s="377">
        <f>H38+H39*H37</f>
        <v>0.2</v>
      </c>
      <c r="I40" s="321">
        <f>I38+I39*I37</f>
        <v>0.2</v>
      </c>
    </row>
    <row r="41" spans="2:9" ht="12.75" thickBot="1">
      <c r="B41" s="322">
        <v>5</v>
      </c>
      <c r="C41" s="378"/>
      <c r="D41" s="315" t="s">
        <v>149</v>
      </c>
      <c r="E41" s="366">
        <f>F30/(E40-$I$1)</f>
        <v>4216.666666666666</v>
      </c>
      <c r="F41" s="366">
        <f>G30/(F40-$I$1)</f>
        <v>4427.5</v>
      </c>
      <c r="G41" s="366">
        <f>H30/(G40-$I$1)</f>
        <v>4648.874999999999</v>
      </c>
      <c r="H41" s="366">
        <f>I30/(H40-$I$1)</f>
        <v>4881.3187499999985</v>
      </c>
      <c r="I41" s="367">
        <f>J30/(I40-$I$1)</f>
        <v>5125.384687499998</v>
      </c>
    </row>
    <row r="42" spans="2:9" ht="12">
      <c r="B42" s="320"/>
      <c r="C42" s="405" t="s">
        <v>129</v>
      </c>
      <c r="D42" s="403"/>
      <c r="E42" s="308"/>
      <c r="F42" s="308"/>
      <c r="G42" s="308"/>
      <c r="H42" s="308"/>
      <c r="I42" s="310"/>
    </row>
    <row r="43" spans="2:10" ht="12.75">
      <c r="B43" s="320">
        <v>6</v>
      </c>
      <c r="C43" s="376"/>
      <c r="D43" s="356" t="s">
        <v>150</v>
      </c>
      <c r="E43" s="354"/>
      <c r="F43" s="354">
        <v>1000</v>
      </c>
      <c r="G43" s="354">
        <f>F43*(1+$I$1)</f>
        <v>1050</v>
      </c>
      <c r="H43" s="354">
        <f>G43*(1+$I$1)</f>
        <v>1102.5</v>
      </c>
      <c r="I43" s="312">
        <f>H43*(1+$I$1)</f>
        <v>1157.625</v>
      </c>
      <c r="J43" s="374">
        <f>I43*(1+$I$1)</f>
        <v>1215.5062500000001</v>
      </c>
    </row>
    <row r="44" spans="2:9" ht="12.75" thickBot="1">
      <c r="B44" s="322">
        <v>7</v>
      </c>
      <c r="C44" s="378"/>
      <c r="D44" s="315" t="s">
        <v>151</v>
      </c>
      <c r="E44" s="366">
        <f>F43/(E40-$I$1)</f>
        <v>6666.666666666666</v>
      </c>
      <c r="F44" s="366">
        <f>G43/(F40-$I$1)</f>
        <v>6999.999999999999</v>
      </c>
      <c r="G44" s="366">
        <f>H43/(G40-$I$1)</f>
        <v>7349.999999999999</v>
      </c>
      <c r="H44" s="366">
        <f>I43/(H40-$I$1)</f>
        <v>7717.499999999999</v>
      </c>
      <c r="I44" s="367">
        <f>J43/(I40-$I$1)</f>
        <v>8103.375</v>
      </c>
    </row>
    <row r="45" spans="2:9" ht="12">
      <c r="B45" s="320"/>
      <c r="C45" s="405" t="s">
        <v>152</v>
      </c>
      <c r="D45" s="403"/>
      <c r="E45" s="308"/>
      <c r="F45" s="308"/>
      <c r="G45" s="308"/>
      <c r="H45" s="308"/>
      <c r="I45" s="310"/>
    </row>
    <row r="46" spans="2:9" ht="12">
      <c r="B46" s="320">
        <v>8</v>
      </c>
      <c r="C46" s="376"/>
      <c r="D46" s="356" t="s">
        <v>56</v>
      </c>
      <c r="E46" s="379">
        <v>0.15</v>
      </c>
      <c r="F46" s="379">
        <v>0.15</v>
      </c>
      <c r="G46" s="379">
        <v>0.15</v>
      </c>
      <c r="H46" s="379">
        <v>0.15</v>
      </c>
      <c r="I46" s="323">
        <v>0.15</v>
      </c>
    </row>
    <row r="47" spans="2:9" ht="12">
      <c r="B47" s="320">
        <v>9</v>
      </c>
      <c r="C47" s="376"/>
      <c r="D47" s="356" t="s">
        <v>58</v>
      </c>
      <c r="E47" s="354">
        <f>(E46-E38)/E39</f>
        <v>0.375</v>
      </c>
      <c r="F47" s="354">
        <f>(F46-F38)/F39</f>
        <v>0.375</v>
      </c>
      <c r="G47" s="354">
        <f>(G46-G38)/G39</f>
        <v>0.375</v>
      </c>
      <c r="H47" s="354">
        <f>(H46-H38)/H39</f>
        <v>0.375</v>
      </c>
      <c r="I47" s="312">
        <f>(I46-I38)/I39</f>
        <v>0.375</v>
      </c>
    </row>
    <row r="48" spans="2:9" ht="12">
      <c r="B48" s="320">
        <v>10</v>
      </c>
      <c r="C48" s="376"/>
      <c r="D48" s="356" t="s">
        <v>153</v>
      </c>
      <c r="E48" s="362">
        <f>E12*0.35*E40/(E40-$I$1)</f>
        <v>233.3333333333333</v>
      </c>
      <c r="F48" s="362">
        <f>F12*0.35*F40/(F40-$I$1)</f>
        <v>244.99999999999997</v>
      </c>
      <c r="G48" s="362">
        <f>G12*0.35*G40/(G40-$I$1)</f>
        <v>257.25</v>
      </c>
      <c r="H48" s="362">
        <f>H12*0.35*H40/(H40-$I$1)</f>
        <v>270.11249999999995</v>
      </c>
      <c r="I48" s="365">
        <f>I12*0.35*I40/(I40-$I$1)</f>
        <v>283.618125</v>
      </c>
    </row>
    <row r="49" spans="2:9" ht="12">
      <c r="B49" s="320">
        <v>11</v>
      </c>
      <c r="C49" s="376"/>
      <c r="D49" s="356" t="s">
        <v>84</v>
      </c>
      <c r="E49" s="362">
        <f>E41+E48</f>
        <v>4449.999999999999</v>
      </c>
      <c r="F49" s="362">
        <f>F41+F48</f>
        <v>4672.5</v>
      </c>
      <c r="G49" s="362">
        <f>G41+G48</f>
        <v>4906.124999999999</v>
      </c>
      <c r="H49" s="362">
        <f>H41+H48</f>
        <v>5151.431249999999</v>
      </c>
      <c r="I49" s="365">
        <f>I41+I48</f>
        <v>5409.002812499998</v>
      </c>
    </row>
    <row r="50" spans="2:9" ht="12.75" thickBot="1">
      <c r="B50" s="322">
        <v>12</v>
      </c>
      <c r="C50" s="380" t="s">
        <v>154</v>
      </c>
      <c r="D50" s="324" t="s">
        <v>155</v>
      </c>
      <c r="E50" s="363">
        <f>E49-E12</f>
        <v>3949.999999999999</v>
      </c>
      <c r="F50" s="363">
        <f>F49-F12</f>
        <v>4147.5</v>
      </c>
      <c r="G50" s="363">
        <f>G49-G12</f>
        <v>4354.874999999999</v>
      </c>
      <c r="H50" s="363">
        <f>H49-H12</f>
        <v>4572.618749999999</v>
      </c>
      <c r="I50" s="364">
        <f>I49-I12</f>
        <v>4801.249687499998</v>
      </c>
    </row>
    <row r="51" spans="2:9" ht="12">
      <c r="B51" s="320">
        <v>13</v>
      </c>
      <c r="C51" s="376"/>
      <c r="D51" s="356" t="s">
        <v>62</v>
      </c>
      <c r="E51" s="381">
        <f>((E37*(E50+E12*(1-0.35))-E47*E12*(1-0.35))/E50)</f>
        <v>1.0514240506329113</v>
      </c>
      <c r="F51" s="381">
        <f>((F37*(F50+F12*(1-0.35))-F47*F12*(1-0.35))/F50)</f>
        <v>1.0514240506329113</v>
      </c>
      <c r="G51" s="381">
        <f>((G37*(G50+G12*(1-0.35))-G47*G12*(1-0.35))/G50)</f>
        <v>1.0514240506329113</v>
      </c>
      <c r="H51" s="381">
        <f>((H37*(H50+H12*(1-0.35))-H47*H12*(1-0.35))/H50)</f>
        <v>1.0514240506329113</v>
      </c>
      <c r="I51" s="382">
        <f>((I37*(I50+I12*(1-0.35))-I47*I12*(1-0.35))/I50)</f>
        <v>1.0514240506329116</v>
      </c>
    </row>
    <row r="52" spans="2:9" ht="12">
      <c r="B52" s="320">
        <v>14</v>
      </c>
      <c r="C52" s="376"/>
      <c r="D52" s="356" t="s">
        <v>63</v>
      </c>
      <c r="E52" s="383">
        <f>E38+E39*E51</f>
        <v>0.2041139240506329</v>
      </c>
      <c r="F52" s="383">
        <f>F38+F39*F51</f>
        <v>0.2041139240506329</v>
      </c>
      <c r="G52" s="383">
        <f>G38+G39*G51</f>
        <v>0.2041139240506329</v>
      </c>
      <c r="H52" s="383">
        <f>H38+H39*H51</f>
        <v>0.2041139240506329</v>
      </c>
      <c r="I52" s="326">
        <f>I38+I39*I51</f>
        <v>0.20411392405063292</v>
      </c>
    </row>
    <row r="53" spans="2:9" ht="12.75" thickBot="1">
      <c r="B53" s="322">
        <v>15</v>
      </c>
      <c r="C53" s="378"/>
      <c r="D53" s="324" t="s">
        <v>156</v>
      </c>
      <c r="E53" s="363">
        <f>F29/(E52-$I$1)</f>
        <v>3950.0000000000005</v>
      </c>
      <c r="F53" s="363">
        <f>G29/(F52-$I$1)</f>
        <v>4147.500000000001</v>
      </c>
      <c r="G53" s="363">
        <f>H29/(G52-$I$1)</f>
        <v>4354.875</v>
      </c>
      <c r="H53" s="363">
        <f>I29/(H52-$I$1)</f>
        <v>4572.61875</v>
      </c>
      <c r="I53" s="364">
        <f>J29/(I52-$I$1)</f>
        <v>4801.2496875</v>
      </c>
    </row>
    <row r="54" spans="2:9" ht="12">
      <c r="B54" s="320">
        <v>16</v>
      </c>
      <c r="C54" s="376"/>
      <c r="D54" s="356" t="s">
        <v>85</v>
      </c>
      <c r="E54" s="383">
        <f>(E50*E52+E12*E46*(1-0.35))/(E50+E12)</f>
        <v>0.19213483146067414</v>
      </c>
      <c r="F54" s="383">
        <f>(F50*F52+F12*F46*(1-0.35))/(F50+F12)</f>
        <v>0.19213483146067414</v>
      </c>
      <c r="G54" s="383">
        <f>(G50*G52+G12*G46*(1-0.35))/(G50+G12)</f>
        <v>0.19213483146067414</v>
      </c>
      <c r="H54" s="383">
        <f>(H50*H52+H12*H46*(1-0.35))/(H50+H12)</f>
        <v>0.19213483146067414</v>
      </c>
      <c r="I54" s="326">
        <f>(I50*I52+I12*I46*(1-0.35))/(I50+I12)</f>
        <v>0.19213483146067417</v>
      </c>
    </row>
    <row r="55" spans="2:9" ht="12.75" thickBot="1">
      <c r="B55" s="320">
        <v>17</v>
      </c>
      <c r="C55" s="384" t="s">
        <v>157</v>
      </c>
      <c r="D55" s="327" t="s">
        <v>158</v>
      </c>
      <c r="E55" s="366">
        <f>F30/(E54-$I$1)</f>
        <v>4450.000000000001</v>
      </c>
      <c r="F55" s="366">
        <f>G30/(F54-$I$1)</f>
        <v>4672.500000000002</v>
      </c>
      <c r="G55" s="366">
        <f>H30/(G54-$I$1)</f>
        <v>4906.125000000001</v>
      </c>
      <c r="H55" s="366">
        <f>I30/(H54-$I$1)</f>
        <v>5151.43125</v>
      </c>
      <c r="I55" s="367">
        <f>J30/(I54-$I$1)</f>
        <v>5409.002812499998</v>
      </c>
    </row>
    <row r="56" spans="2:9" ht="12.75" thickBot="1">
      <c r="B56" s="322">
        <v>18</v>
      </c>
      <c r="C56" s="380" t="s">
        <v>154</v>
      </c>
      <c r="D56" s="324" t="s">
        <v>159</v>
      </c>
      <c r="E56" s="363">
        <f>E55-E12</f>
        <v>3950.000000000001</v>
      </c>
      <c r="F56" s="363">
        <f>F55-F12</f>
        <v>4147.500000000002</v>
      </c>
      <c r="G56" s="363">
        <f>G55-G12</f>
        <v>4354.875000000001</v>
      </c>
      <c r="H56" s="363">
        <f>H55-H12</f>
        <v>4572.61875</v>
      </c>
      <c r="I56" s="364">
        <f>I55-I12</f>
        <v>4801.249687499998</v>
      </c>
    </row>
    <row r="57" spans="2:9" ht="13.5">
      <c r="B57" s="320">
        <v>19</v>
      </c>
      <c r="C57" s="376"/>
      <c r="D57" s="356" t="s">
        <v>160</v>
      </c>
      <c r="E57" s="383">
        <f>(E50*E52+E12*E46)/(E50+E12)</f>
        <v>0.19803370786516852</v>
      </c>
      <c r="F57" s="383">
        <f>(F50*F52+F12*F46)/(F50+F12)</f>
        <v>0.19803370786516852</v>
      </c>
      <c r="G57" s="383">
        <f>(G50*G52+G12*G46)/(G50+G12)</f>
        <v>0.19803370786516852</v>
      </c>
      <c r="H57" s="383">
        <f>(H50*H52+H12*H46)/(H50+H12)</f>
        <v>0.1980337078651685</v>
      </c>
      <c r="I57" s="326">
        <f>(I50*I52+I12*I46)/(I50+I12)</f>
        <v>0.19803370786516855</v>
      </c>
    </row>
    <row r="58" spans="2:9" ht="14.25" thickBot="1">
      <c r="B58" s="320">
        <v>20</v>
      </c>
      <c r="C58" s="384" t="s">
        <v>157</v>
      </c>
      <c r="D58" s="327" t="s">
        <v>161</v>
      </c>
      <c r="E58" s="366">
        <f>F31/(E57-$I$1)</f>
        <v>4450.000000000001</v>
      </c>
      <c r="F58" s="366">
        <f>G31/(F57-$I$1)</f>
        <v>4672.500000000002</v>
      </c>
      <c r="G58" s="366">
        <f>H31/(G57-$I$1)</f>
        <v>4906.125000000001</v>
      </c>
      <c r="H58" s="366">
        <f>I31/(H57-$I$1)</f>
        <v>5151.43125</v>
      </c>
      <c r="I58" s="367">
        <f>J31/(I57-$I$1)</f>
        <v>5409.002812499998</v>
      </c>
    </row>
    <row r="59" spans="2:9" ht="12.75" thickBot="1">
      <c r="B59" s="322">
        <v>21</v>
      </c>
      <c r="C59" s="380" t="s">
        <v>154</v>
      </c>
      <c r="D59" s="324" t="s">
        <v>162</v>
      </c>
      <c r="E59" s="363">
        <f>E58-E12</f>
        <v>3950.000000000001</v>
      </c>
      <c r="F59" s="363">
        <f>F58-F12</f>
        <v>4147.500000000002</v>
      </c>
      <c r="G59" s="363">
        <f>G58-G12</f>
        <v>4354.875000000001</v>
      </c>
      <c r="H59" s="363">
        <f>H58-H12</f>
        <v>4572.61875</v>
      </c>
      <c r="I59" s="364">
        <f>I58-I12</f>
        <v>4801.249687499998</v>
      </c>
    </row>
  </sheetData>
  <sheetProtection/>
  <mergeCells count="4">
    <mergeCell ref="C15:D15"/>
    <mergeCell ref="D29:E29"/>
    <mergeCell ref="C42:D42"/>
    <mergeCell ref="C45:D4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5"/>
  <sheetViews>
    <sheetView zoomScalePageLayoutView="0" workbookViewId="0" topLeftCell="A1">
      <selection activeCell="F27" sqref="F27"/>
    </sheetView>
  </sheetViews>
  <sheetFormatPr defaultColWidth="11.00390625" defaultRowHeight="12"/>
  <cols>
    <col min="1" max="1" width="9.625" style="0" customWidth="1"/>
    <col min="2" max="2" width="34.75390625" style="0" customWidth="1"/>
    <col min="3" max="3" width="19.625" style="0" customWidth="1"/>
    <col min="4" max="4" width="16.375" style="0" customWidth="1"/>
    <col min="5" max="5" width="17.375" style="0" customWidth="1"/>
    <col min="6" max="6" width="15.375" style="0" customWidth="1"/>
    <col min="7" max="16384" width="9.625" style="0" customWidth="1"/>
  </cols>
  <sheetData>
    <row r="2" spans="2:9" ht="12.75">
      <c r="B2" s="316" t="s">
        <v>163</v>
      </c>
      <c r="C2" s="271"/>
      <c r="D2" s="271"/>
      <c r="E2" s="271"/>
      <c r="F2" s="271"/>
      <c r="G2" s="271"/>
      <c r="H2" s="271"/>
      <c r="I2" s="271"/>
    </row>
    <row r="3" spans="2:9" ht="12.75">
      <c r="B3" s="298"/>
      <c r="C3" s="406" t="s">
        <v>164</v>
      </c>
      <c r="D3" s="407"/>
      <c r="E3" s="406" t="s">
        <v>152</v>
      </c>
      <c r="F3" s="407"/>
      <c r="G3" s="271"/>
      <c r="H3" s="271"/>
      <c r="I3" s="271"/>
    </row>
    <row r="4" spans="2:9" ht="15" customHeight="1">
      <c r="B4" s="298"/>
      <c r="C4" s="329" t="s">
        <v>165</v>
      </c>
      <c r="D4" s="329" t="s">
        <v>132</v>
      </c>
      <c r="E4" s="329" t="s">
        <v>165</v>
      </c>
      <c r="F4" s="329" t="s">
        <v>132</v>
      </c>
      <c r="G4" s="271"/>
      <c r="H4" s="271"/>
      <c r="I4" s="271"/>
    </row>
    <row r="5" spans="2:9" ht="12.75">
      <c r="B5" s="298"/>
      <c r="C5" s="329" t="s">
        <v>108</v>
      </c>
      <c r="D5" s="329" t="s">
        <v>166</v>
      </c>
      <c r="E5" s="329" t="s">
        <v>108</v>
      </c>
      <c r="F5" s="329" t="s">
        <v>166</v>
      </c>
      <c r="G5" s="271"/>
      <c r="H5" s="271"/>
      <c r="I5" s="271"/>
    </row>
    <row r="6" spans="2:9" ht="12.75">
      <c r="B6" s="342" t="s">
        <v>114</v>
      </c>
      <c r="C6" s="343">
        <v>1000</v>
      </c>
      <c r="D6" s="343">
        <v>950</v>
      </c>
      <c r="E6" s="343">
        <v>632.5</v>
      </c>
      <c r="F6" s="344">
        <v>608.75</v>
      </c>
      <c r="G6" s="271"/>
      <c r="H6" s="271"/>
      <c r="I6" s="271"/>
    </row>
    <row r="7" spans="2:9" ht="12.75">
      <c r="B7" s="345" t="s">
        <v>111</v>
      </c>
      <c r="C7" s="346" t="s">
        <v>135</v>
      </c>
      <c r="D7" s="346" t="s">
        <v>135</v>
      </c>
      <c r="E7" s="346">
        <v>367.5</v>
      </c>
      <c r="F7" s="347">
        <v>341.25</v>
      </c>
      <c r="G7" s="271"/>
      <c r="H7" s="271"/>
      <c r="I7" s="271"/>
    </row>
    <row r="8" spans="2:9" ht="12.75">
      <c r="B8" s="388" t="s">
        <v>167</v>
      </c>
      <c r="C8" s="338" t="s">
        <v>135</v>
      </c>
      <c r="D8" s="393">
        <v>50</v>
      </c>
      <c r="E8" s="338" t="s">
        <v>135</v>
      </c>
      <c r="F8" s="394">
        <v>50</v>
      </c>
      <c r="G8" s="271"/>
      <c r="H8" s="271"/>
      <c r="I8" s="271"/>
    </row>
    <row r="9" spans="2:9" ht="12.75">
      <c r="B9" s="342" t="s">
        <v>63</v>
      </c>
      <c r="C9" s="385">
        <v>0.2</v>
      </c>
      <c r="D9" s="399">
        <f>D6/D12+0.05</f>
        <v>0.20405405405405408</v>
      </c>
      <c r="E9" s="385">
        <v>0.2</v>
      </c>
      <c r="F9" s="401">
        <v>0.2041139240506329</v>
      </c>
      <c r="G9" s="271"/>
      <c r="H9" s="271"/>
      <c r="I9" s="271"/>
    </row>
    <row r="10" spans="2:9" ht="12.75">
      <c r="B10" s="345" t="s">
        <v>56</v>
      </c>
      <c r="C10" s="346" t="s">
        <v>135</v>
      </c>
      <c r="D10" s="386">
        <v>0.15</v>
      </c>
      <c r="E10" s="346" t="s">
        <v>135</v>
      </c>
      <c r="F10" s="387">
        <v>0.15</v>
      </c>
      <c r="G10" s="271"/>
      <c r="H10" s="271"/>
      <c r="I10" s="271"/>
    </row>
    <row r="11" spans="2:9" ht="12.75">
      <c r="B11" s="388" t="s">
        <v>168</v>
      </c>
      <c r="C11" s="338" t="s">
        <v>135</v>
      </c>
      <c r="D11" s="338" t="s">
        <v>135</v>
      </c>
      <c r="E11" s="389">
        <v>0.2</v>
      </c>
      <c r="F11" s="390">
        <f>F7/F13+0.05</f>
        <v>0.2039473684210527</v>
      </c>
      <c r="G11" s="271" t="s">
        <v>184</v>
      </c>
      <c r="H11" s="271"/>
      <c r="I11" s="271"/>
    </row>
    <row r="12" spans="2:9" ht="12.75">
      <c r="B12" s="342" t="s">
        <v>169</v>
      </c>
      <c r="C12" s="395">
        <f>C6/(C9-0.05)</f>
        <v>6666.666666666666</v>
      </c>
      <c r="D12" s="395">
        <f>C15-D14</f>
        <v>6166.666666666666</v>
      </c>
      <c r="E12" s="395">
        <f>E6/(E9-0.05)</f>
        <v>4216.666666666666</v>
      </c>
      <c r="F12" s="400">
        <f>F6/(F9-0.05)</f>
        <v>3950.0000000000005</v>
      </c>
      <c r="G12" s="271"/>
      <c r="H12" s="271"/>
      <c r="I12" s="271"/>
    </row>
    <row r="13" spans="2:9" ht="12.75">
      <c r="B13" s="345" t="s">
        <v>170</v>
      </c>
      <c r="C13" s="346" t="s">
        <v>171</v>
      </c>
      <c r="D13" s="346" t="s">
        <v>171</v>
      </c>
      <c r="E13" s="395">
        <f>E7/(E11-0.05)</f>
        <v>2449.9999999999995</v>
      </c>
      <c r="F13" s="397">
        <f>F15-F14-F12</f>
        <v>2216.6666666666656</v>
      </c>
      <c r="G13" s="271"/>
      <c r="H13" s="271"/>
      <c r="I13" s="271"/>
    </row>
    <row r="14" spans="2:9" ht="12.75">
      <c r="B14" s="345" t="s">
        <v>172</v>
      </c>
      <c r="C14" s="346" t="s">
        <v>171</v>
      </c>
      <c r="D14" s="391">
        <v>500</v>
      </c>
      <c r="E14" s="346" t="s">
        <v>171</v>
      </c>
      <c r="F14" s="392">
        <v>500</v>
      </c>
      <c r="G14" s="271"/>
      <c r="H14" s="271"/>
      <c r="I14" s="271"/>
    </row>
    <row r="15" spans="2:8" ht="12.75">
      <c r="B15" s="388" t="s">
        <v>173</v>
      </c>
      <c r="C15" s="396">
        <f>SUM(C12:C14)</f>
        <v>6666.666666666666</v>
      </c>
      <c r="D15" s="396">
        <f>SUM(D12:D14)</f>
        <v>6666.666666666666</v>
      </c>
      <c r="E15" s="396">
        <f>SUM(E12:E14)</f>
        <v>6666.666666666666</v>
      </c>
      <c r="F15" s="398">
        <f>E15</f>
        <v>6666.666666666666</v>
      </c>
      <c r="H15" s="271"/>
    </row>
  </sheetData>
  <sheetProtection/>
  <mergeCells count="2"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7"/>
  <sheetViews>
    <sheetView zoomScalePageLayoutView="0" workbookViewId="0" topLeftCell="A1">
      <pane ySplit="2925" topLeftCell="A37" activePane="bottomLeft" state="split"/>
      <selection pane="topLeft" activeCell="H5" sqref="H5"/>
      <selection pane="bottomLeft" activeCell="F65" sqref="F65"/>
    </sheetView>
  </sheetViews>
  <sheetFormatPr defaultColWidth="11.00390625" defaultRowHeight="12"/>
  <cols>
    <col min="1" max="1" width="6.625" style="35" customWidth="1"/>
    <col min="2" max="2" width="23.75390625" style="35" customWidth="1"/>
    <col min="3" max="13" width="10.75390625" style="35" customWidth="1"/>
    <col min="14" max="27" width="12.25390625" style="35" customWidth="1"/>
    <col min="28" max="16384" width="11.00390625" style="35" customWidth="1"/>
  </cols>
  <sheetData>
    <row r="1" spans="1:8" ht="15.75">
      <c r="A1" s="13"/>
      <c r="B1" s="8"/>
      <c r="C1" s="8"/>
      <c r="E1" s="4"/>
      <c r="F1" s="13"/>
      <c r="G1" s="10"/>
      <c r="H1" s="31" t="s">
        <v>82</v>
      </c>
    </row>
    <row r="2" spans="1:7" ht="10.5" hidden="1">
      <c r="A2" s="13"/>
      <c r="B2" s="8"/>
      <c r="C2" s="8"/>
      <c r="D2" s="13"/>
      <c r="E2" s="4"/>
      <c r="F2" s="13"/>
      <c r="G2" s="10"/>
    </row>
    <row r="3" spans="1:7" ht="10.5" hidden="1">
      <c r="A3" s="13"/>
      <c r="B3" s="8"/>
      <c r="C3" s="8"/>
      <c r="D3" s="13"/>
      <c r="E3" s="4"/>
      <c r="F3" s="13"/>
      <c r="G3" s="10"/>
    </row>
    <row r="4" spans="1:7" ht="10.5" hidden="1">
      <c r="A4" s="13" t="s">
        <v>0</v>
      </c>
      <c r="B4" s="8">
        <f>C16</f>
        <v>1800</v>
      </c>
      <c r="C4" s="8"/>
      <c r="D4" s="13" t="s">
        <v>1</v>
      </c>
      <c r="E4" s="4">
        <f>N5</f>
        <v>0.05</v>
      </c>
      <c r="F4" s="13" t="s">
        <v>2</v>
      </c>
      <c r="G4" s="10">
        <v>0.35</v>
      </c>
    </row>
    <row r="5" spans="1:14" ht="12" customHeight="1">
      <c r="A5" s="13"/>
      <c r="B5" s="8"/>
      <c r="C5" s="8"/>
      <c r="D5" s="13"/>
      <c r="E5" s="4"/>
      <c r="F5" s="13"/>
      <c r="G5" s="10"/>
      <c r="H5" s="12" t="s">
        <v>3</v>
      </c>
      <c r="M5" s="34" t="s">
        <v>4</v>
      </c>
      <c r="N5" s="11">
        <v>0.05</v>
      </c>
    </row>
    <row r="6" spans="3:27" ht="12" customHeight="1">
      <c r="C6" s="36">
        <v>0</v>
      </c>
      <c r="D6" s="36">
        <v>1</v>
      </c>
      <c r="E6" s="36">
        <f aca="true" t="shared" si="0" ref="E6:N6">D6+1</f>
        <v>2</v>
      </c>
      <c r="F6" s="36">
        <f t="shared" si="0"/>
        <v>3</v>
      </c>
      <c r="G6" s="36">
        <f t="shared" si="0"/>
        <v>4</v>
      </c>
      <c r="H6" s="36">
        <f t="shared" si="0"/>
        <v>5</v>
      </c>
      <c r="I6" s="36">
        <f t="shared" si="0"/>
        <v>6</v>
      </c>
      <c r="J6" s="36">
        <f t="shared" si="0"/>
        <v>7</v>
      </c>
      <c r="K6" s="36">
        <f t="shared" si="0"/>
        <v>8</v>
      </c>
      <c r="L6" s="36">
        <f t="shared" si="0"/>
        <v>9</v>
      </c>
      <c r="M6" s="36">
        <f t="shared" si="0"/>
        <v>10</v>
      </c>
      <c r="N6" s="13">
        <f t="shared" si="0"/>
        <v>11</v>
      </c>
      <c r="O6" s="13">
        <f aca="true" t="shared" si="1" ref="O6:AA6">N6+1</f>
        <v>12</v>
      </c>
      <c r="P6" s="13">
        <f t="shared" si="1"/>
        <v>13</v>
      </c>
      <c r="Q6" s="13">
        <f t="shared" si="1"/>
        <v>14</v>
      </c>
      <c r="R6" s="13">
        <f t="shared" si="1"/>
        <v>15</v>
      </c>
      <c r="S6" s="13">
        <f t="shared" si="1"/>
        <v>16</v>
      </c>
      <c r="T6" s="13">
        <f t="shared" si="1"/>
        <v>17</v>
      </c>
      <c r="U6" s="13">
        <f t="shared" si="1"/>
        <v>18</v>
      </c>
      <c r="V6" s="13">
        <f t="shared" si="1"/>
        <v>19</v>
      </c>
      <c r="W6" s="13">
        <f t="shared" si="1"/>
        <v>20</v>
      </c>
      <c r="X6" s="13">
        <f t="shared" si="1"/>
        <v>21</v>
      </c>
      <c r="Y6" s="13">
        <f t="shared" si="1"/>
        <v>22</v>
      </c>
      <c r="Z6" s="13">
        <f t="shared" si="1"/>
        <v>23</v>
      </c>
      <c r="AA6" s="13">
        <f t="shared" si="1"/>
        <v>24</v>
      </c>
    </row>
    <row r="7" spans="1:27" ht="12" customHeight="1">
      <c r="A7" s="37">
        <v>1</v>
      </c>
      <c r="B7" s="38" t="s">
        <v>5</v>
      </c>
      <c r="C7" s="39">
        <f>C18-C8-C9-C12</f>
        <v>100</v>
      </c>
      <c r="D7" s="40">
        <v>120</v>
      </c>
      <c r="E7" s="40">
        <v>140</v>
      </c>
      <c r="F7" s="40">
        <v>160</v>
      </c>
      <c r="G7" s="40">
        <v>180</v>
      </c>
      <c r="H7" s="40">
        <v>200</v>
      </c>
      <c r="I7" s="41">
        <v>210</v>
      </c>
      <c r="J7" s="41">
        <v>220</v>
      </c>
      <c r="K7" s="161">
        <v>230</v>
      </c>
      <c r="L7" s="161">
        <v>240</v>
      </c>
      <c r="M7" s="161">
        <f aca="true" t="shared" si="2" ref="M7:AA7">L7*(1+$N$5)</f>
        <v>252</v>
      </c>
      <c r="N7" s="43">
        <f t="shared" si="2"/>
        <v>264.6</v>
      </c>
      <c r="O7" s="43">
        <f t="shared" si="2"/>
        <v>277.83000000000004</v>
      </c>
      <c r="P7" s="43">
        <f t="shared" si="2"/>
        <v>291.72150000000005</v>
      </c>
      <c r="Q7" s="43">
        <f t="shared" si="2"/>
        <v>306.30757500000004</v>
      </c>
      <c r="R7" s="43">
        <f t="shared" si="2"/>
        <v>321.6229537500001</v>
      </c>
      <c r="S7" s="43">
        <f t="shared" si="2"/>
        <v>337.70410143750007</v>
      </c>
      <c r="T7" s="43">
        <f t="shared" si="2"/>
        <v>354.5893065093751</v>
      </c>
      <c r="U7" s="43">
        <f t="shared" si="2"/>
        <v>372.31877183484386</v>
      </c>
      <c r="V7" s="43">
        <f t="shared" si="2"/>
        <v>390.9347104265861</v>
      </c>
      <c r="W7" s="43">
        <f t="shared" si="2"/>
        <v>410.4814459479154</v>
      </c>
      <c r="X7" s="43">
        <f t="shared" si="2"/>
        <v>431.0055182453112</v>
      </c>
      <c r="Y7" s="43">
        <f t="shared" si="2"/>
        <v>452.55579415757677</v>
      </c>
      <c r="Z7" s="43">
        <f t="shared" si="2"/>
        <v>475.1835838654556</v>
      </c>
      <c r="AA7" s="43">
        <f t="shared" si="2"/>
        <v>498.9427630587284</v>
      </c>
    </row>
    <row r="8" spans="1:27" ht="12" customHeight="1">
      <c r="A8" s="44">
        <v>2</v>
      </c>
      <c r="B8" s="45" t="s">
        <v>6</v>
      </c>
      <c r="C8" s="46">
        <v>900</v>
      </c>
      <c r="D8" s="47">
        <f aca="true" t="shared" si="3" ref="D8:M8">0.3*C23</f>
        <v>960</v>
      </c>
      <c r="E8" s="47">
        <f t="shared" si="3"/>
        <v>1020</v>
      </c>
      <c r="F8" s="47">
        <f t="shared" si="3"/>
        <v>1080</v>
      </c>
      <c r="G8" s="47">
        <f t="shared" si="3"/>
        <v>1140</v>
      </c>
      <c r="H8" s="47">
        <f t="shared" si="3"/>
        <v>1200</v>
      </c>
      <c r="I8" s="47">
        <f t="shared" si="3"/>
        <v>1260</v>
      </c>
      <c r="J8" s="47">
        <f t="shared" si="3"/>
        <v>1320</v>
      </c>
      <c r="K8" s="162">
        <f t="shared" si="3"/>
        <v>1380</v>
      </c>
      <c r="L8" s="162">
        <f t="shared" si="3"/>
        <v>1449</v>
      </c>
      <c r="M8" s="162">
        <f t="shared" si="3"/>
        <v>1521.45</v>
      </c>
      <c r="N8" s="49">
        <f aca="true" t="shared" si="4" ref="N8:AA8">0.3*M23</f>
        <v>1597.5224999999998</v>
      </c>
      <c r="O8" s="49">
        <f t="shared" si="4"/>
        <v>1677.3986249999998</v>
      </c>
      <c r="P8" s="49">
        <f t="shared" si="4"/>
        <v>1761.26855625</v>
      </c>
      <c r="Q8" s="49">
        <f t="shared" si="4"/>
        <v>1849.3319840625002</v>
      </c>
      <c r="R8" s="49">
        <f t="shared" si="4"/>
        <v>1941.7985832656252</v>
      </c>
      <c r="S8" s="49">
        <f t="shared" si="4"/>
        <v>2038.8885124289068</v>
      </c>
      <c r="T8" s="49">
        <f t="shared" si="4"/>
        <v>2140.832938050352</v>
      </c>
      <c r="U8" s="49">
        <f t="shared" si="4"/>
        <v>2247.87458495287</v>
      </c>
      <c r="V8" s="49">
        <f t="shared" si="4"/>
        <v>2360.2683142005135</v>
      </c>
      <c r="W8" s="49">
        <f t="shared" si="4"/>
        <v>2478.2817299105395</v>
      </c>
      <c r="X8" s="49">
        <f t="shared" si="4"/>
        <v>2602.195816406066</v>
      </c>
      <c r="Y8" s="49">
        <f t="shared" si="4"/>
        <v>2732.30560722637</v>
      </c>
      <c r="Z8" s="49">
        <f t="shared" si="4"/>
        <v>2868.9208875876884</v>
      </c>
      <c r="AA8" s="49">
        <f t="shared" si="4"/>
        <v>3012.366931967073</v>
      </c>
    </row>
    <row r="9" spans="1:27" ht="12" customHeight="1">
      <c r="A9" s="44">
        <v>3</v>
      </c>
      <c r="B9" s="45" t="s">
        <v>7</v>
      </c>
      <c r="C9" s="46">
        <v>300</v>
      </c>
      <c r="D9" s="47">
        <f aca="true" t="shared" si="5" ref="D9:M9">0.2*C24</f>
        <v>320</v>
      </c>
      <c r="E9" s="47">
        <f t="shared" si="5"/>
        <v>340</v>
      </c>
      <c r="F9" s="47">
        <f t="shared" si="5"/>
        <v>360</v>
      </c>
      <c r="G9" s="47">
        <f t="shared" si="5"/>
        <v>380</v>
      </c>
      <c r="H9" s="47">
        <f t="shared" si="5"/>
        <v>400</v>
      </c>
      <c r="I9" s="47">
        <f t="shared" si="5"/>
        <v>420</v>
      </c>
      <c r="J9" s="47">
        <f t="shared" si="5"/>
        <v>440</v>
      </c>
      <c r="K9" s="162">
        <f t="shared" si="5"/>
        <v>460</v>
      </c>
      <c r="L9" s="162">
        <f t="shared" si="5"/>
        <v>483</v>
      </c>
      <c r="M9" s="162">
        <f t="shared" si="5"/>
        <v>507.15000000000003</v>
      </c>
      <c r="N9" s="49">
        <f aca="true" t="shared" si="6" ref="N9:AA9">0.2*M24</f>
        <v>532.5075</v>
      </c>
      <c r="O9" s="49">
        <f t="shared" si="6"/>
        <v>559.132875</v>
      </c>
      <c r="P9" s="49">
        <f t="shared" si="6"/>
        <v>587.08951875</v>
      </c>
      <c r="Q9" s="49">
        <f t="shared" si="6"/>
        <v>616.4439946875001</v>
      </c>
      <c r="R9" s="49">
        <f t="shared" si="6"/>
        <v>647.2661944218752</v>
      </c>
      <c r="S9" s="49">
        <f t="shared" si="6"/>
        <v>679.6295041429689</v>
      </c>
      <c r="T9" s="49">
        <f t="shared" si="6"/>
        <v>713.6109793501174</v>
      </c>
      <c r="U9" s="49">
        <f t="shared" si="6"/>
        <v>749.2915283176234</v>
      </c>
      <c r="V9" s="49">
        <f t="shared" si="6"/>
        <v>786.7561047335046</v>
      </c>
      <c r="W9" s="49">
        <f t="shared" si="6"/>
        <v>826.0939099701799</v>
      </c>
      <c r="X9" s="49">
        <f t="shared" si="6"/>
        <v>867.3986054686889</v>
      </c>
      <c r="Y9" s="49">
        <f t="shared" si="6"/>
        <v>910.7685357421233</v>
      </c>
      <c r="Z9" s="49">
        <f t="shared" si="6"/>
        <v>956.3069625292296</v>
      </c>
      <c r="AA9" s="49">
        <f t="shared" si="6"/>
        <v>1004.1223106556911</v>
      </c>
    </row>
    <row r="10" spans="1:27" ht="12" customHeight="1">
      <c r="A10" s="44">
        <v>4</v>
      </c>
      <c r="B10" s="45" t="s">
        <v>8</v>
      </c>
      <c r="C10" s="50">
        <v>1500</v>
      </c>
      <c r="D10" s="50">
        <v>1800</v>
      </c>
      <c r="E10" s="50">
        <v>2700</v>
      </c>
      <c r="F10" s="50">
        <v>3100</v>
      </c>
      <c r="G10" s="50">
        <v>3300</v>
      </c>
      <c r="H10" s="50">
        <v>3500</v>
      </c>
      <c r="I10" s="50">
        <v>3900</v>
      </c>
      <c r="J10" s="50">
        <f aca="true" t="shared" si="7" ref="J10:S10">I10+J11-I11</f>
        <v>4204</v>
      </c>
      <c r="K10" s="163">
        <f t="shared" si="7"/>
        <v>4523.2</v>
      </c>
      <c r="L10" s="163">
        <f t="shared" si="7"/>
        <v>4858.36</v>
      </c>
      <c r="M10" s="163">
        <f t="shared" si="7"/>
        <v>5210.277999999999</v>
      </c>
      <c r="N10" s="43">
        <f t="shared" si="7"/>
        <v>5579.791899999998</v>
      </c>
      <c r="O10" s="43">
        <f t="shared" si="7"/>
        <v>5967.781494999999</v>
      </c>
      <c r="P10" s="43">
        <f t="shared" si="7"/>
        <v>6375.170569749999</v>
      </c>
      <c r="Q10" s="43">
        <f t="shared" si="7"/>
        <v>6802.929098237499</v>
      </c>
      <c r="R10" s="43">
        <f t="shared" si="7"/>
        <v>7252.075553149374</v>
      </c>
      <c r="S10" s="43">
        <f t="shared" si="7"/>
        <v>7723.679330806843</v>
      </c>
      <c r="T10" s="43">
        <f aca="true" t="shared" si="8" ref="T10:AA10">S10+T11-S11</f>
        <v>8218.863297347185</v>
      </c>
      <c r="U10" s="43">
        <f t="shared" si="8"/>
        <v>8738.806462214545</v>
      </c>
      <c r="V10" s="43">
        <f t="shared" si="8"/>
        <v>9284.746785325271</v>
      </c>
      <c r="W10" s="43">
        <f t="shared" si="8"/>
        <v>9857.984124591534</v>
      </c>
      <c r="X10" s="43">
        <f t="shared" si="8"/>
        <v>10459.88333082111</v>
      </c>
      <c r="Y10" s="43">
        <f t="shared" si="8"/>
        <v>11091.877497362166</v>
      </c>
      <c r="Z10" s="43">
        <f t="shared" si="8"/>
        <v>11755.471372230277</v>
      </c>
      <c r="AA10" s="43">
        <f t="shared" si="8"/>
        <v>12452.24494084179</v>
      </c>
    </row>
    <row r="11" spans="1:27" ht="12" customHeight="1">
      <c r="A11" s="44">
        <v>5</v>
      </c>
      <c r="B11" s="45" t="s">
        <v>9</v>
      </c>
      <c r="C11" s="46">
        <v>200</v>
      </c>
      <c r="D11" s="50">
        <f aca="true" t="shared" si="9" ref="D11:AA11">C11+C26</f>
        <v>550</v>
      </c>
      <c r="E11" s="50">
        <f t="shared" si="9"/>
        <v>900</v>
      </c>
      <c r="F11" s="50">
        <f t="shared" si="9"/>
        <v>1300</v>
      </c>
      <c r="G11" s="50">
        <f t="shared" si="9"/>
        <v>1800</v>
      </c>
      <c r="H11" s="50">
        <f t="shared" si="9"/>
        <v>2100</v>
      </c>
      <c r="I11" s="50">
        <f t="shared" si="9"/>
        <v>2380</v>
      </c>
      <c r="J11" s="50">
        <f t="shared" si="9"/>
        <v>2684</v>
      </c>
      <c r="K11" s="163">
        <f t="shared" si="9"/>
        <v>3003.2</v>
      </c>
      <c r="L11" s="163">
        <f t="shared" si="9"/>
        <v>3338.3599999999997</v>
      </c>
      <c r="M11" s="163">
        <f t="shared" si="9"/>
        <v>3690.278</v>
      </c>
      <c r="N11" s="43">
        <f t="shared" si="9"/>
        <v>4059.7918999999997</v>
      </c>
      <c r="O11" s="43">
        <f t="shared" si="9"/>
        <v>4447.781495</v>
      </c>
      <c r="P11" s="43">
        <f t="shared" si="9"/>
        <v>4855.17056975</v>
      </c>
      <c r="Q11" s="43">
        <f t="shared" si="9"/>
        <v>5282.9290982375005</v>
      </c>
      <c r="R11" s="43">
        <f t="shared" si="9"/>
        <v>5732.075553149376</v>
      </c>
      <c r="S11" s="43">
        <f t="shared" si="9"/>
        <v>6203.6793308068445</v>
      </c>
      <c r="T11" s="43">
        <f t="shared" si="9"/>
        <v>6698.863297347187</v>
      </c>
      <c r="U11" s="43">
        <f t="shared" si="9"/>
        <v>7218.806462214547</v>
      </c>
      <c r="V11" s="43">
        <f t="shared" si="9"/>
        <v>7764.746785325274</v>
      </c>
      <c r="W11" s="43">
        <f t="shared" si="9"/>
        <v>8337.984124591538</v>
      </c>
      <c r="X11" s="43">
        <f t="shared" si="9"/>
        <v>8939.883330821114</v>
      </c>
      <c r="Y11" s="43">
        <f t="shared" si="9"/>
        <v>9571.87749736217</v>
      </c>
      <c r="Z11" s="43">
        <f t="shared" si="9"/>
        <v>10235.471372230279</v>
      </c>
      <c r="AA11" s="43">
        <f t="shared" si="9"/>
        <v>10932.244940841792</v>
      </c>
    </row>
    <row r="12" spans="1:27" ht="12" customHeight="1">
      <c r="A12" s="44">
        <v>6</v>
      </c>
      <c r="B12" s="45" t="s">
        <v>10</v>
      </c>
      <c r="C12" s="46">
        <f aca="true" t="shared" si="10" ref="C12:L12">C10-C11</f>
        <v>1300</v>
      </c>
      <c r="D12" s="47">
        <f t="shared" si="10"/>
        <v>1250</v>
      </c>
      <c r="E12" s="47">
        <f t="shared" si="10"/>
        <v>1800</v>
      </c>
      <c r="F12" s="47">
        <f t="shared" si="10"/>
        <v>1800</v>
      </c>
      <c r="G12" s="47">
        <f t="shared" si="10"/>
        <v>1500</v>
      </c>
      <c r="H12" s="47">
        <f t="shared" si="10"/>
        <v>1400</v>
      </c>
      <c r="I12" s="47">
        <f t="shared" si="10"/>
        <v>1520</v>
      </c>
      <c r="J12" s="47">
        <f t="shared" si="10"/>
        <v>1520</v>
      </c>
      <c r="K12" s="162">
        <f t="shared" si="10"/>
        <v>1520</v>
      </c>
      <c r="L12" s="162">
        <f t="shared" si="10"/>
        <v>1520</v>
      </c>
      <c r="M12" s="162">
        <f aca="true" t="shared" si="11" ref="M12:AA12">M10-M11</f>
        <v>1519.9999999999995</v>
      </c>
      <c r="N12" s="49">
        <f t="shared" si="11"/>
        <v>1519.9999999999986</v>
      </c>
      <c r="O12" s="49">
        <f t="shared" si="11"/>
        <v>1519.999999999999</v>
      </c>
      <c r="P12" s="49">
        <f t="shared" si="11"/>
        <v>1519.999999999999</v>
      </c>
      <c r="Q12" s="49">
        <f t="shared" si="11"/>
        <v>1519.9999999999982</v>
      </c>
      <c r="R12" s="49">
        <f t="shared" si="11"/>
        <v>1519.9999999999982</v>
      </c>
      <c r="S12" s="49">
        <f t="shared" si="11"/>
        <v>1519.9999999999982</v>
      </c>
      <c r="T12" s="49">
        <f t="shared" si="11"/>
        <v>1519.9999999999982</v>
      </c>
      <c r="U12" s="49">
        <f t="shared" si="11"/>
        <v>1519.9999999999982</v>
      </c>
      <c r="V12" s="49">
        <f t="shared" si="11"/>
        <v>1519.9999999999973</v>
      </c>
      <c r="W12" s="49">
        <f t="shared" si="11"/>
        <v>1519.9999999999964</v>
      </c>
      <c r="X12" s="49">
        <f t="shared" si="11"/>
        <v>1519.9999999999964</v>
      </c>
      <c r="Y12" s="49">
        <f t="shared" si="11"/>
        <v>1519.9999999999964</v>
      </c>
      <c r="Z12" s="49">
        <f t="shared" si="11"/>
        <v>1519.9999999999982</v>
      </c>
      <c r="AA12" s="49">
        <f t="shared" si="11"/>
        <v>1519.9999999999982</v>
      </c>
    </row>
    <row r="13" spans="1:27" ht="12" customHeight="1">
      <c r="A13" s="52">
        <v>7</v>
      </c>
      <c r="B13" s="53" t="s">
        <v>11</v>
      </c>
      <c r="C13" s="54">
        <f aca="true" t="shared" si="12" ref="C13:L13">C7+C8+C9+C12</f>
        <v>2600</v>
      </c>
      <c r="D13" s="54">
        <f t="shared" si="12"/>
        <v>2650</v>
      </c>
      <c r="E13" s="54">
        <f t="shared" si="12"/>
        <v>3300</v>
      </c>
      <c r="F13" s="54">
        <f t="shared" si="12"/>
        <v>3400</v>
      </c>
      <c r="G13" s="54">
        <f t="shared" si="12"/>
        <v>3200</v>
      </c>
      <c r="H13" s="54">
        <f t="shared" si="12"/>
        <v>3200</v>
      </c>
      <c r="I13" s="54">
        <f t="shared" si="12"/>
        <v>3410</v>
      </c>
      <c r="J13" s="54">
        <f t="shared" si="12"/>
        <v>3500</v>
      </c>
      <c r="K13" s="164">
        <f t="shared" si="12"/>
        <v>3590</v>
      </c>
      <c r="L13" s="164">
        <f t="shared" si="12"/>
        <v>3692</v>
      </c>
      <c r="M13" s="164">
        <f aca="true" t="shared" si="13" ref="M13:AA13">M7+M8+M9+M12</f>
        <v>3800.5999999999995</v>
      </c>
      <c r="N13" s="16">
        <f t="shared" si="13"/>
        <v>3914.6299999999987</v>
      </c>
      <c r="O13" s="16">
        <f t="shared" si="13"/>
        <v>4034.361499999999</v>
      </c>
      <c r="P13" s="16">
        <f t="shared" si="13"/>
        <v>4160.079575</v>
      </c>
      <c r="Q13" s="16">
        <f t="shared" si="13"/>
        <v>4292.083553749999</v>
      </c>
      <c r="R13" s="16">
        <f t="shared" si="13"/>
        <v>4430.687731437499</v>
      </c>
      <c r="S13" s="16">
        <f t="shared" si="13"/>
        <v>4576.222118009374</v>
      </c>
      <c r="T13" s="16">
        <f t="shared" si="13"/>
        <v>4729.0332239098425</v>
      </c>
      <c r="U13" s="16">
        <f t="shared" si="13"/>
        <v>4889.484885105336</v>
      </c>
      <c r="V13" s="16">
        <f t="shared" si="13"/>
        <v>5057.959129360602</v>
      </c>
      <c r="W13" s="16">
        <f t="shared" si="13"/>
        <v>5234.857085828631</v>
      </c>
      <c r="X13" s="16">
        <f t="shared" si="13"/>
        <v>5420.5999401200625</v>
      </c>
      <c r="Y13" s="16">
        <f t="shared" si="13"/>
        <v>5615.629937126067</v>
      </c>
      <c r="Z13" s="16">
        <f t="shared" si="13"/>
        <v>5820.411433982372</v>
      </c>
      <c r="AA13" s="16">
        <f t="shared" si="13"/>
        <v>6035.43200568149</v>
      </c>
    </row>
    <row r="14" spans="1:27" ht="12" customHeight="1">
      <c r="A14" s="12"/>
      <c r="B14" s="55"/>
      <c r="C14" s="56"/>
      <c r="D14" s="56"/>
      <c r="E14" s="56"/>
      <c r="F14" s="56"/>
      <c r="G14" s="56"/>
      <c r="H14" s="56"/>
      <c r="I14" s="56"/>
      <c r="J14" s="56"/>
      <c r="K14" s="165"/>
      <c r="L14" s="168"/>
      <c r="M14" s="168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2" customHeight="1">
      <c r="A15" s="37">
        <v>8</v>
      </c>
      <c r="B15" s="38" t="s">
        <v>12</v>
      </c>
      <c r="C15" s="39">
        <v>300</v>
      </c>
      <c r="D15" s="40">
        <f aca="true" t="shared" si="14" ref="D15:M15">0.2*C24</f>
        <v>320</v>
      </c>
      <c r="E15" s="40">
        <f t="shared" si="14"/>
        <v>340</v>
      </c>
      <c r="F15" s="40">
        <f t="shared" si="14"/>
        <v>360</v>
      </c>
      <c r="G15" s="40">
        <f t="shared" si="14"/>
        <v>380</v>
      </c>
      <c r="H15" s="40">
        <f t="shared" si="14"/>
        <v>400</v>
      </c>
      <c r="I15" s="40">
        <f t="shared" si="14"/>
        <v>420</v>
      </c>
      <c r="J15" s="40">
        <f t="shared" si="14"/>
        <v>440</v>
      </c>
      <c r="K15" s="166">
        <f t="shared" si="14"/>
        <v>460</v>
      </c>
      <c r="L15" s="166">
        <f t="shared" si="14"/>
        <v>483</v>
      </c>
      <c r="M15" s="166">
        <f t="shared" si="14"/>
        <v>507.15000000000003</v>
      </c>
      <c r="N15" s="49">
        <f aca="true" t="shared" si="15" ref="N15:AA15">0.2*M24</f>
        <v>532.5075</v>
      </c>
      <c r="O15" s="49">
        <f t="shared" si="15"/>
        <v>559.132875</v>
      </c>
      <c r="P15" s="49">
        <f t="shared" si="15"/>
        <v>587.08951875</v>
      </c>
      <c r="Q15" s="49">
        <f t="shared" si="15"/>
        <v>616.4439946875001</v>
      </c>
      <c r="R15" s="49">
        <f t="shared" si="15"/>
        <v>647.2661944218752</v>
      </c>
      <c r="S15" s="49">
        <f t="shared" si="15"/>
        <v>679.6295041429689</v>
      </c>
      <c r="T15" s="49">
        <f t="shared" si="15"/>
        <v>713.6109793501174</v>
      </c>
      <c r="U15" s="49">
        <f t="shared" si="15"/>
        <v>749.2915283176234</v>
      </c>
      <c r="V15" s="49">
        <f t="shared" si="15"/>
        <v>786.7561047335046</v>
      </c>
      <c r="W15" s="49">
        <f t="shared" si="15"/>
        <v>826.0939099701799</v>
      </c>
      <c r="X15" s="49">
        <f t="shared" si="15"/>
        <v>867.3986054686889</v>
      </c>
      <c r="Y15" s="49">
        <f t="shared" si="15"/>
        <v>910.7685357421233</v>
      </c>
      <c r="Z15" s="49">
        <f t="shared" si="15"/>
        <v>956.3069625292296</v>
      </c>
      <c r="AA15" s="49">
        <f t="shared" si="15"/>
        <v>1004.1223106556911</v>
      </c>
    </row>
    <row r="16" spans="1:27" ht="12" customHeight="1">
      <c r="A16" s="44">
        <v>9</v>
      </c>
      <c r="B16" s="45" t="s">
        <v>13</v>
      </c>
      <c r="C16" s="50">
        <v>1800</v>
      </c>
      <c r="D16" s="50">
        <v>1800</v>
      </c>
      <c r="E16" s="50">
        <v>2300</v>
      </c>
      <c r="F16" s="50">
        <v>2300</v>
      </c>
      <c r="G16" s="50">
        <v>2050</v>
      </c>
      <c r="H16" s="50">
        <v>1800</v>
      </c>
      <c r="I16" s="50">
        <v>1700</v>
      </c>
      <c r="J16" s="50">
        <v>1450</v>
      </c>
      <c r="K16" s="163">
        <v>1200</v>
      </c>
      <c r="L16" s="163">
        <v>1000</v>
      </c>
      <c r="M16" s="163">
        <f aca="true" t="shared" si="16" ref="M16:AA16">L16*(1+$N$5)</f>
        <v>1050</v>
      </c>
      <c r="N16" s="43">
        <f t="shared" si="16"/>
        <v>1102.5</v>
      </c>
      <c r="O16" s="43">
        <f t="shared" si="16"/>
        <v>1157.625</v>
      </c>
      <c r="P16" s="43">
        <f t="shared" si="16"/>
        <v>1215.5062500000001</v>
      </c>
      <c r="Q16" s="43">
        <f t="shared" si="16"/>
        <v>1276.2815625000003</v>
      </c>
      <c r="R16" s="43">
        <f t="shared" si="16"/>
        <v>1340.0956406250004</v>
      </c>
      <c r="S16" s="43">
        <f t="shared" si="16"/>
        <v>1407.1004226562504</v>
      </c>
      <c r="T16" s="43">
        <f t="shared" si="16"/>
        <v>1477.455443789063</v>
      </c>
      <c r="U16" s="43">
        <f t="shared" si="16"/>
        <v>1551.3282159785163</v>
      </c>
      <c r="V16" s="43">
        <f t="shared" si="16"/>
        <v>1628.8946267774422</v>
      </c>
      <c r="W16" s="43">
        <f t="shared" si="16"/>
        <v>1710.3393581163143</v>
      </c>
      <c r="X16" s="43">
        <f t="shared" si="16"/>
        <v>1795.8563260221301</v>
      </c>
      <c r="Y16" s="43">
        <f t="shared" si="16"/>
        <v>1885.6491423232367</v>
      </c>
      <c r="Z16" s="43">
        <f t="shared" si="16"/>
        <v>1979.9315994393985</v>
      </c>
      <c r="AA16" s="43">
        <f t="shared" si="16"/>
        <v>2078.9281794113685</v>
      </c>
    </row>
    <row r="17" spans="1:27" ht="12" customHeight="1">
      <c r="A17" s="44">
        <v>10</v>
      </c>
      <c r="B17" s="45" t="s">
        <v>14</v>
      </c>
      <c r="C17" s="46">
        <v>500</v>
      </c>
      <c r="D17" s="47">
        <f aca="true" t="shared" si="17" ref="D17:AA17">C17+C31-C39</f>
        <v>530</v>
      </c>
      <c r="E17" s="47">
        <f t="shared" si="17"/>
        <v>660</v>
      </c>
      <c r="F17" s="47">
        <f t="shared" si="17"/>
        <v>740</v>
      </c>
      <c r="G17" s="47">
        <f t="shared" si="17"/>
        <v>770</v>
      </c>
      <c r="H17" s="47">
        <f t="shared" si="17"/>
        <v>1000</v>
      </c>
      <c r="I17" s="47">
        <f t="shared" si="17"/>
        <v>1290</v>
      </c>
      <c r="J17" s="47">
        <f t="shared" si="17"/>
        <v>1610</v>
      </c>
      <c r="K17" s="162">
        <f t="shared" si="17"/>
        <v>1929.9999999999998</v>
      </c>
      <c r="L17" s="162">
        <f t="shared" si="17"/>
        <v>2208.9999999999995</v>
      </c>
      <c r="M17" s="162">
        <f t="shared" si="17"/>
        <v>2243.449999999999</v>
      </c>
      <c r="N17" s="49">
        <f t="shared" si="17"/>
        <v>2279.6224999999977</v>
      </c>
      <c r="O17" s="49">
        <f t="shared" si="17"/>
        <v>2317.6036249999984</v>
      </c>
      <c r="P17" s="49">
        <f t="shared" si="17"/>
        <v>2357.4838062499985</v>
      </c>
      <c r="Q17" s="49">
        <f t="shared" si="17"/>
        <v>2399.3579965624976</v>
      </c>
      <c r="R17" s="49">
        <f t="shared" si="17"/>
        <v>2443.325896390623</v>
      </c>
      <c r="S17" s="49">
        <f t="shared" si="17"/>
        <v>2489.4921912101536</v>
      </c>
      <c r="T17" s="49">
        <f t="shared" si="17"/>
        <v>2537.966800770661</v>
      </c>
      <c r="U17" s="49">
        <f t="shared" si="17"/>
        <v>2588.8651408091946</v>
      </c>
      <c r="V17" s="49">
        <f t="shared" si="17"/>
        <v>2642.308397849653</v>
      </c>
      <c r="W17" s="49">
        <f t="shared" si="17"/>
        <v>2698.423817742135</v>
      </c>
      <c r="X17" s="49">
        <f t="shared" si="17"/>
        <v>2757.345008629241</v>
      </c>
      <c r="Y17" s="49">
        <f t="shared" si="17"/>
        <v>2819.212259060703</v>
      </c>
      <c r="Z17" s="49">
        <f t="shared" si="17"/>
        <v>2884.1728720137417</v>
      </c>
      <c r="AA17" s="49">
        <f t="shared" si="17"/>
        <v>2952.3815156144283</v>
      </c>
    </row>
    <row r="18" spans="1:27" ht="12" customHeight="1">
      <c r="A18" s="52">
        <v>11</v>
      </c>
      <c r="B18" s="53" t="s">
        <v>15</v>
      </c>
      <c r="C18" s="54">
        <f aca="true" t="shared" si="18" ref="C18:L18">C15+C16+C17</f>
        <v>2600</v>
      </c>
      <c r="D18" s="54">
        <f t="shared" si="18"/>
        <v>2650</v>
      </c>
      <c r="E18" s="54">
        <f t="shared" si="18"/>
        <v>3300</v>
      </c>
      <c r="F18" s="54">
        <f t="shared" si="18"/>
        <v>3400</v>
      </c>
      <c r="G18" s="54">
        <f t="shared" si="18"/>
        <v>3200</v>
      </c>
      <c r="H18" s="54">
        <f t="shared" si="18"/>
        <v>3200</v>
      </c>
      <c r="I18" s="54">
        <f t="shared" si="18"/>
        <v>3410</v>
      </c>
      <c r="J18" s="54">
        <f t="shared" si="18"/>
        <v>3500</v>
      </c>
      <c r="K18" s="164">
        <f t="shared" si="18"/>
        <v>3590</v>
      </c>
      <c r="L18" s="164">
        <f t="shared" si="18"/>
        <v>3691.9999999999995</v>
      </c>
      <c r="M18" s="164">
        <f aca="true" t="shared" si="19" ref="M18:AA18">M15+M16+M17</f>
        <v>3800.599999999999</v>
      </c>
      <c r="N18" s="16">
        <f t="shared" si="19"/>
        <v>3914.629999999998</v>
      </c>
      <c r="O18" s="16">
        <f t="shared" si="19"/>
        <v>4034.361499999998</v>
      </c>
      <c r="P18" s="16">
        <f t="shared" si="19"/>
        <v>4160.079574999999</v>
      </c>
      <c r="Q18" s="16">
        <f t="shared" si="19"/>
        <v>4292.083553749998</v>
      </c>
      <c r="R18" s="16">
        <f t="shared" si="19"/>
        <v>4430.687731437498</v>
      </c>
      <c r="S18" s="16">
        <f t="shared" si="19"/>
        <v>4576.222118009373</v>
      </c>
      <c r="T18" s="16">
        <f t="shared" si="19"/>
        <v>4729.033223909842</v>
      </c>
      <c r="U18" s="16">
        <f t="shared" si="19"/>
        <v>4889.484885105334</v>
      </c>
      <c r="V18" s="16">
        <f t="shared" si="19"/>
        <v>5057.959129360599</v>
      </c>
      <c r="W18" s="16">
        <f t="shared" si="19"/>
        <v>5234.857085828629</v>
      </c>
      <c r="X18" s="16">
        <f t="shared" si="19"/>
        <v>5420.599940120061</v>
      </c>
      <c r="Y18" s="16">
        <f t="shared" si="19"/>
        <v>5615.629937126063</v>
      </c>
      <c r="Z18" s="16">
        <f t="shared" si="19"/>
        <v>5820.41143398237</v>
      </c>
      <c r="AA18" s="16">
        <f t="shared" si="19"/>
        <v>6035.432005681488</v>
      </c>
    </row>
    <row r="19" spans="1:27" ht="12" customHeight="1">
      <c r="A19" s="14"/>
      <c r="B19" s="6" t="s">
        <v>16</v>
      </c>
      <c r="C19" s="15">
        <f aca="true" t="shared" si="20" ref="C19:AA19">C7+C8+C9-C15</f>
        <v>1000</v>
      </c>
      <c r="D19" s="15">
        <f t="shared" si="20"/>
        <v>1080</v>
      </c>
      <c r="E19" s="15">
        <f t="shared" si="20"/>
        <v>1160</v>
      </c>
      <c r="F19" s="15">
        <f t="shared" si="20"/>
        <v>1240</v>
      </c>
      <c r="G19" s="15">
        <f t="shared" si="20"/>
        <v>1320</v>
      </c>
      <c r="H19" s="15">
        <f t="shared" si="20"/>
        <v>1400</v>
      </c>
      <c r="I19" s="15">
        <f t="shared" si="20"/>
        <v>1470</v>
      </c>
      <c r="J19" s="15">
        <f t="shared" si="20"/>
        <v>1540</v>
      </c>
      <c r="K19" s="167">
        <f t="shared" si="20"/>
        <v>1610</v>
      </c>
      <c r="L19" s="169">
        <f t="shared" si="20"/>
        <v>1689</v>
      </c>
      <c r="M19" s="167">
        <f t="shared" si="20"/>
        <v>1773.4499999999998</v>
      </c>
      <c r="N19" s="16">
        <f t="shared" si="20"/>
        <v>1862.1225</v>
      </c>
      <c r="O19" s="16">
        <f t="shared" si="20"/>
        <v>1955.228625</v>
      </c>
      <c r="P19" s="16">
        <f t="shared" si="20"/>
        <v>2052.99005625</v>
      </c>
      <c r="Q19" s="16">
        <f t="shared" si="20"/>
        <v>2155.6395590625</v>
      </c>
      <c r="R19" s="16">
        <f t="shared" si="20"/>
        <v>2263.4215370156253</v>
      </c>
      <c r="S19" s="16">
        <f t="shared" si="20"/>
        <v>2376.5926138664067</v>
      </c>
      <c r="T19" s="16">
        <f t="shared" si="20"/>
        <v>2495.422244559727</v>
      </c>
      <c r="U19" s="16">
        <f t="shared" si="20"/>
        <v>2620.193356787714</v>
      </c>
      <c r="V19" s="16">
        <f t="shared" si="20"/>
        <v>2751.2030246270997</v>
      </c>
      <c r="W19" s="16">
        <f t="shared" si="20"/>
        <v>2888.763175858455</v>
      </c>
      <c r="X19" s="16">
        <f t="shared" si="20"/>
        <v>3033.2013346513772</v>
      </c>
      <c r="Y19" s="16">
        <f t="shared" si="20"/>
        <v>3184.8614013839465</v>
      </c>
      <c r="Z19" s="16">
        <f t="shared" si="20"/>
        <v>3344.104471453144</v>
      </c>
      <c r="AA19" s="16">
        <f t="shared" si="20"/>
        <v>3511.3096950258014</v>
      </c>
    </row>
    <row r="20" spans="1:27" ht="12" customHeight="1">
      <c r="A20" s="7"/>
      <c r="B20" s="1" t="s">
        <v>17</v>
      </c>
      <c r="C20" s="7"/>
      <c r="D20" s="9">
        <f aca="true" t="shared" si="21" ref="D20:M20">D19/C19-1</f>
        <v>0.08000000000000007</v>
      </c>
      <c r="E20" s="9">
        <f t="shared" si="21"/>
        <v>0.07407407407407418</v>
      </c>
      <c r="F20" s="9">
        <f t="shared" si="21"/>
        <v>0.06896551724137923</v>
      </c>
      <c r="G20" s="9">
        <f t="shared" si="21"/>
        <v>0.06451612903225801</v>
      </c>
      <c r="H20" s="9">
        <f t="shared" si="21"/>
        <v>0.06060606060606055</v>
      </c>
      <c r="I20" s="9">
        <f t="shared" si="21"/>
        <v>0.050000000000000044</v>
      </c>
      <c r="J20" s="9">
        <f t="shared" si="21"/>
        <v>0.04761904761904767</v>
      </c>
      <c r="K20" s="9">
        <f t="shared" si="21"/>
        <v>0.045454545454545414</v>
      </c>
      <c r="L20" s="19">
        <f t="shared" si="21"/>
        <v>0.04906832298136643</v>
      </c>
      <c r="M20" s="9">
        <f t="shared" si="21"/>
        <v>0.04999999999999982</v>
      </c>
      <c r="N20" s="9">
        <f aca="true" t="shared" si="22" ref="N20:AA20">N19/M19-1</f>
        <v>0.050000000000000044</v>
      </c>
      <c r="O20" s="9">
        <f t="shared" si="22"/>
        <v>0.050000000000000044</v>
      </c>
      <c r="P20" s="9">
        <f t="shared" si="22"/>
        <v>0.050000000000000044</v>
      </c>
      <c r="Q20" s="9">
        <f t="shared" si="22"/>
        <v>0.050000000000000044</v>
      </c>
      <c r="R20" s="9">
        <f t="shared" si="22"/>
        <v>0.050000000000000044</v>
      </c>
      <c r="S20" s="9">
        <f t="shared" si="22"/>
        <v>0.050000000000000044</v>
      </c>
      <c r="T20" s="9">
        <f t="shared" si="22"/>
        <v>0.050000000000000044</v>
      </c>
      <c r="U20" s="9">
        <f t="shared" si="22"/>
        <v>0.050000000000000266</v>
      </c>
      <c r="V20" s="9">
        <f t="shared" si="22"/>
        <v>0.050000000000000044</v>
      </c>
      <c r="W20" s="9">
        <f t="shared" si="22"/>
        <v>0.050000000000000044</v>
      </c>
      <c r="X20" s="9">
        <f t="shared" si="22"/>
        <v>0.04999999999999982</v>
      </c>
      <c r="Y20" s="9">
        <f t="shared" si="22"/>
        <v>0.050000000000000044</v>
      </c>
      <c r="Z20" s="9">
        <f t="shared" si="22"/>
        <v>0.050000000000000044</v>
      </c>
      <c r="AA20" s="9">
        <f t="shared" si="22"/>
        <v>0.050000000000000044</v>
      </c>
    </row>
    <row r="21" spans="1:27" ht="12" customHeight="1">
      <c r="A21" s="4"/>
      <c r="B21" s="10"/>
      <c r="C21" s="13"/>
      <c r="D21" s="13"/>
      <c r="E21" s="13"/>
      <c r="F21" s="13"/>
      <c r="G21" s="13"/>
      <c r="H21" s="13"/>
      <c r="I21" s="13"/>
      <c r="J21" s="13"/>
      <c r="K21" s="13"/>
      <c r="L21" s="17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3:26" ht="12" customHeight="1">
      <c r="C22" s="57">
        <v>1</v>
      </c>
      <c r="D22" s="57">
        <f aca="true" t="shared" si="23" ref="D22:Z22">C22+1</f>
        <v>2</v>
      </c>
      <c r="E22" s="57">
        <f t="shared" si="23"/>
        <v>3</v>
      </c>
      <c r="F22" s="57">
        <f t="shared" si="23"/>
        <v>4</v>
      </c>
      <c r="G22" s="57">
        <f t="shared" si="23"/>
        <v>5</v>
      </c>
      <c r="H22" s="57">
        <f t="shared" si="23"/>
        <v>6</v>
      </c>
      <c r="I22" s="57">
        <f t="shared" si="23"/>
        <v>7</v>
      </c>
      <c r="J22" s="57">
        <f t="shared" si="23"/>
        <v>8</v>
      </c>
      <c r="K22" s="57">
        <f t="shared" si="23"/>
        <v>9</v>
      </c>
      <c r="L22" s="57">
        <f t="shared" si="23"/>
        <v>10</v>
      </c>
      <c r="M22" s="36">
        <f t="shared" si="23"/>
        <v>11</v>
      </c>
      <c r="N22" s="13">
        <f t="shared" si="23"/>
        <v>12</v>
      </c>
      <c r="O22" s="13">
        <f t="shared" si="23"/>
        <v>13</v>
      </c>
      <c r="P22" s="13">
        <f t="shared" si="23"/>
        <v>14</v>
      </c>
      <c r="Q22" s="13">
        <f t="shared" si="23"/>
        <v>15</v>
      </c>
      <c r="R22" s="13">
        <f t="shared" si="23"/>
        <v>16</v>
      </c>
      <c r="S22" s="13">
        <f t="shared" si="23"/>
        <v>17</v>
      </c>
      <c r="T22" s="13">
        <f t="shared" si="23"/>
        <v>18</v>
      </c>
      <c r="U22" s="13">
        <f t="shared" si="23"/>
        <v>19</v>
      </c>
      <c r="V22" s="13">
        <f t="shared" si="23"/>
        <v>20</v>
      </c>
      <c r="W22" s="13">
        <f t="shared" si="23"/>
        <v>21</v>
      </c>
      <c r="X22" s="13">
        <f t="shared" si="23"/>
        <v>22</v>
      </c>
      <c r="Y22" s="13">
        <f t="shared" si="23"/>
        <v>23</v>
      </c>
      <c r="Z22" s="13">
        <f t="shared" si="23"/>
        <v>24</v>
      </c>
    </row>
    <row r="23" spans="1:26" ht="12" customHeight="1">
      <c r="A23" s="37">
        <v>14</v>
      </c>
      <c r="B23" s="38" t="s">
        <v>18</v>
      </c>
      <c r="C23" s="41">
        <v>3200</v>
      </c>
      <c r="D23" s="41">
        <v>3400</v>
      </c>
      <c r="E23" s="41">
        <v>3600</v>
      </c>
      <c r="F23" s="41">
        <v>3800</v>
      </c>
      <c r="G23" s="42">
        <v>4000</v>
      </c>
      <c r="H23" s="41">
        <v>4200</v>
      </c>
      <c r="I23" s="41">
        <v>4400</v>
      </c>
      <c r="J23" s="41">
        <v>4600</v>
      </c>
      <c r="K23" s="41">
        <f aca="true" t="shared" si="24" ref="K23:Z23">J23*(1+$N$5)</f>
        <v>4830</v>
      </c>
      <c r="L23" s="42">
        <f t="shared" si="24"/>
        <v>5071.5</v>
      </c>
      <c r="M23" s="42">
        <f t="shared" si="24"/>
        <v>5325.075</v>
      </c>
      <c r="N23" s="43">
        <f t="shared" si="24"/>
        <v>5591.32875</v>
      </c>
      <c r="O23" s="43">
        <f t="shared" si="24"/>
        <v>5870.8951875</v>
      </c>
      <c r="P23" s="43">
        <f t="shared" si="24"/>
        <v>6164.439946875001</v>
      </c>
      <c r="Q23" s="43">
        <f t="shared" si="24"/>
        <v>6472.661944218751</v>
      </c>
      <c r="R23" s="43">
        <f t="shared" si="24"/>
        <v>6796.295041429689</v>
      </c>
      <c r="S23" s="43">
        <f t="shared" si="24"/>
        <v>7136.109793501174</v>
      </c>
      <c r="T23" s="43">
        <f t="shared" si="24"/>
        <v>7492.915283176233</v>
      </c>
      <c r="U23" s="43">
        <f t="shared" si="24"/>
        <v>7867.561047335045</v>
      </c>
      <c r="V23" s="43">
        <f t="shared" si="24"/>
        <v>8260.939099701798</v>
      </c>
      <c r="W23" s="43">
        <f t="shared" si="24"/>
        <v>8673.986054686888</v>
      </c>
      <c r="X23" s="43">
        <f t="shared" si="24"/>
        <v>9107.685357421233</v>
      </c>
      <c r="Y23" s="43">
        <f t="shared" si="24"/>
        <v>9563.069625292295</v>
      </c>
      <c r="Z23" s="43">
        <f t="shared" si="24"/>
        <v>10041.22310655691</v>
      </c>
    </row>
    <row r="24" spans="1:26" ht="12" customHeight="1">
      <c r="A24" s="44">
        <v>15</v>
      </c>
      <c r="B24" s="45" t="s">
        <v>19</v>
      </c>
      <c r="C24" s="47">
        <f aca="true" t="shared" si="25" ref="C24:L24">C23*0.5</f>
        <v>1600</v>
      </c>
      <c r="D24" s="47">
        <f t="shared" si="25"/>
        <v>1700</v>
      </c>
      <c r="E24" s="47">
        <f t="shared" si="25"/>
        <v>1800</v>
      </c>
      <c r="F24" s="47">
        <f t="shared" si="25"/>
        <v>1900</v>
      </c>
      <c r="G24" s="48">
        <f t="shared" si="25"/>
        <v>2000</v>
      </c>
      <c r="H24" s="47">
        <f t="shared" si="25"/>
        <v>2100</v>
      </c>
      <c r="I24" s="47">
        <f t="shared" si="25"/>
        <v>2200</v>
      </c>
      <c r="J24" s="47">
        <f t="shared" si="25"/>
        <v>2300</v>
      </c>
      <c r="K24" s="47">
        <f t="shared" si="25"/>
        <v>2415</v>
      </c>
      <c r="L24" s="48">
        <f t="shared" si="25"/>
        <v>2535.75</v>
      </c>
      <c r="M24" s="48">
        <f aca="true" t="shared" si="26" ref="M24:Z24">M23*0.5</f>
        <v>2662.5375</v>
      </c>
      <c r="N24" s="49">
        <f t="shared" si="26"/>
        <v>2795.664375</v>
      </c>
      <c r="O24" s="58">
        <f t="shared" si="26"/>
        <v>2935.44759375</v>
      </c>
      <c r="P24" s="58">
        <f t="shared" si="26"/>
        <v>3082.2199734375004</v>
      </c>
      <c r="Q24" s="58">
        <f t="shared" si="26"/>
        <v>3236.3309721093756</v>
      </c>
      <c r="R24" s="58">
        <f t="shared" si="26"/>
        <v>3398.1475207148446</v>
      </c>
      <c r="S24" s="58">
        <f t="shared" si="26"/>
        <v>3568.054896750587</v>
      </c>
      <c r="T24" s="58">
        <f t="shared" si="26"/>
        <v>3746.4576415881165</v>
      </c>
      <c r="U24" s="58">
        <f t="shared" si="26"/>
        <v>3933.7805236675226</v>
      </c>
      <c r="V24" s="58">
        <f t="shared" si="26"/>
        <v>4130.469549850899</v>
      </c>
      <c r="W24" s="58">
        <f t="shared" si="26"/>
        <v>4336.993027343444</v>
      </c>
      <c r="X24" s="58">
        <f t="shared" si="26"/>
        <v>4553.842678710616</v>
      </c>
      <c r="Y24" s="58">
        <f t="shared" si="26"/>
        <v>4781.534812646148</v>
      </c>
      <c r="Z24" s="58">
        <f t="shared" si="26"/>
        <v>5020.611553278455</v>
      </c>
    </row>
    <row r="25" spans="1:26" ht="12" customHeight="1">
      <c r="A25" s="44">
        <v>16</v>
      </c>
      <c r="B25" s="45" t="s">
        <v>20</v>
      </c>
      <c r="C25" s="47">
        <f aca="true" t="shared" si="27" ref="C25:L25">0.25*C23</f>
        <v>800</v>
      </c>
      <c r="D25" s="47">
        <f t="shared" si="27"/>
        <v>850</v>
      </c>
      <c r="E25" s="47">
        <f t="shared" si="27"/>
        <v>900</v>
      </c>
      <c r="F25" s="47">
        <f t="shared" si="27"/>
        <v>950</v>
      </c>
      <c r="G25" s="48">
        <f t="shared" si="27"/>
        <v>1000</v>
      </c>
      <c r="H25" s="47">
        <f t="shared" si="27"/>
        <v>1050</v>
      </c>
      <c r="I25" s="47">
        <f t="shared" si="27"/>
        <v>1100</v>
      </c>
      <c r="J25" s="47">
        <f t="shared" si="27"/>
        <v>1150</v>
      </c>
      <c r="K25" s="48">
        <f t="shared" si="27"/>
        <v>1207.5</v>
      </c>
      <c r="L25" s="48">
        <f t="shared" si="27"/>
        <v>1267.875</v>
      </c>
      <c r="M25" s="48">
        <f aca="true" t="shared" si="28" ref="M25:Z25">0.25*M23</f>
        <v>1331.26875</v>
      </c>
      <c r="N25" s="49">
        <f t="shared" si="28"/>
        <v>1397.8321875</v>
      </c>
      <c r="O25" s="58">
        <f t="shared" si="28"/>
        <v>1467.723796875</v>
      </c>
      <c r="P25" s="58">
        <f t="shared" si="28"/>
        <v>1541.1099867187502</v>
      </c>
      <c r="Q25" s="58">
        <f t="shared" si="28"/>
        <v>1618.1654860546878</v>
      </c>
      <c r="R25" s="58">
        <f t="shared" si="28"/>
        <v>1699.0737603574223</v>
      </c>
      <c r="S25" s="58">
        <f t="shared" si="28"/>
        <v>1784.0274483752935</v>
      </c>
      <c r="T25" s="58">
        <f t="shared" si="28"/>
        <v>1873.2288207940583</v>
      </c>
      <c r="U25" s="58">
        <f t="shared" si="28"/>
        <v>1966.8902618337613</v>
      </c>
      <c r="V25" s="58">
        <f t="shared" si="28"/>
        <v>2065.2347749254495</v>
      </c>
      <c r="W25" s="58">
        <f t="shared" si="28"/>
        <v>2168.496513671722</v>
      </c>
      <c r="X25" s="58">
        <f t="shared" si="28"/>
        <v>2276.921339355308</v>
      </c>
      <c r="Y25" s="58">
        <f t="shared" si="28"/>
        <v>2390.767406323074</v>
      </c>
      <c r="Z25" s="58">
        <f t="shared" si="28"/>
        <v>2510.3057766392276</v>
      </c>
    </row>
    <row r="26" spans="1:26" ht="12" customHeight="1">
      <c r="A26" s="44">
        <v>17</v>
      </c>
      <c r="B26" s="45" t="s">
        <v>21</v>
      </c>
      <c r="C26" s="50">
        <v>350</v>
      </c>
      <c r="D26" s="50">
        <v>350</v>
      </c>
      <c r="E26" s="50">
        <v>400</v>
      </c>
      <c r="F26" s="50">
        <v>500</v>
      </c>
      <c r="G26" s="51">
        <f>0.2*G12</f>
        <v>300</v>
      </c>
      <c r="H26" s="50">
        <f>0.2*H12</f>
        <v>280</v>
      </c>
      <c r="I26" s="50">
        <f>0.2*I12</f>
        <v>304</v>
      </c>
      <c r="J26" s="51">
        <f aca="true" t="shared" si="29" ref="J26:S26">I26*(1+$N$5)</f>
        <v>319.2</v>
      </c>
      <c r="K26" s="51">
        <f t="shared" si="29"/>
        <v>335.16</v>
      </c>
      <c r="L26" s="51">
        <f t="shared" si="29"/>
        <v>351.91800000000006</v>
      </c>
      <c r="M26" s="51">
        <f t="shared" si="29"/>
        <v>369.5139000000001</v>
      </c>
      <c r="N26" s="43">
        <f t="shared" si="29"/>
        <v>387.9895950000001</v>
      </c>
      <c r="O26" s="43">
        <f t="shared" si="29"/>
        <v>407.38907475000013</v>
      </c>
      <c r="P26" s="43">
        <f t="shared" si="29"/>
        <v>427.75852848750014</v>
      </c>
      <c r="Q26" s="43">
        <f t="shared" si="29"/>
        <v>449.1464549118752</v>
      </c>
      <c r="R26" s="43">
        <f t="shared" si="29"/>
        <v>471.603777657469</v>
      </c>
      <c r="S26" s="43">
        <f t="shared" si="29"/>
        <v>495.18396654034245</v>
      </c>
      <c r="T26" s="43">
        <f aca="true" t="shared" si="30" ref="T26:Z26">S26*(1+$N$5)</f>
        <v>519.9431648673595</v>
      </c>
      <c r="U26" s="43">
        <f t="shared" si="30"/>
        <v>545.9403231107275</v>
      </c>
      <c r="V26" s="43">
        <f t="shared" si="30"/>
        <v>573.2373392662639</v>
      </c>
      <c r="W26" s="43">
        <f t="shared" si="30"/>
        <v>601.8992062295771</v>
      </c>
      <c r="X26" s="43">
        <f t="shared" si="30"/>
        <v>631.994166541056</v>
      </c>
      <c r="Y26" s="43">
        <f t="shared" si="30"/>
        <v>663.5938748681087</v>
      </c>
      <c r="Z26" s="43">
        <f t="shared" si="30"/>
        <v>696.7735686115142</v>
      </c>
    </row>
    <row r="27" spans="1:26" ht="12" customHeight="1">
      <c r="A27" s="44">
        <v>18</v>
      </c>
      <c r="B27" s="59" t="s">
        <v>22</v>
      </c>
      <c r="C27" s="50">
        <f aca="true" t="shared" si="31" ref="C27:L27">C23-C24-C25-C26</f>
        <v>450</v>
      </c>
      <c r="D27" s="50">
        <f t="shared" si="31"/>
        <v>500</v>
      </c>
      <c r="E27" s="50">
        <f t="shared" si="31"/>
        <v>500</v>
      </c>
      <c r="F27" s="50">
        <f t="shared" si="31"/>
        <v>450</v>
      </c>
      <c r="G27" s="51">
        <f t="shared" si="31"/>
        <v>700</v>
      </c>
      <c r="H27" s="50">
        <f t="shared" si="31"/>
        <v>770</v>
      </c>
      <c r="I27" s="50">
        <f t="shared" si="31"/>
        <v>796</v>
      </c>
      <c r="J27" s="51">
        <f t="shared" si="31"/>
        <v>830.8</v>
      </c>
      <c r="K27" s="51">
        <f t="shared" si="31"/>
        <v>872.3399999999999</v>
      </c>
      <c r="L27" s="51">
        <f t="shared" si="31"/>
        <v>915.9569999999999</v>
      </c>
      <c r="M27" s="51">
        <f aca="true" t="shared" si="32" ref="M27:Z27">M23-M24-M25-M26</f>
        <v>961.7548499999998</v>
      </c>
      <c r="N27" s="43">
        <f t="shared" si="32"/>
        <v>1009.8425924999998</v>
      </c>
      <c r="O27" s="43">
        <f t="shared" si="32"/>
        <v>1060.3347221249999</v>
      </c>
      <c r="P27" s="43">
        <f t="shared" si="32"/>
        <v>1113.35145823125</v>
      </c>
      <c r="Q27" s="43">
        <f t="shared" si="32"/>
        <v>1169.0190311428125</v>
      </c>
      <c r="R27" s="43">
        <f t="shared" si="32"/>
        <v>1227.4699826999533</v>
      </c>
      <c r="S27" s="43">
        <f t="shared" si="32"/>
        <v>1288.843481834951</v>
      </c>
      <c r="T27" s="43">
        <f t="shared" si="32"/>
        <v>1353.2856559266988</v>
      </c>
      <c r="U27" s="43">
        <f t="shared" si="32"/>
        <v>1420.949938723034</v>
      </c>
      <c r="V27" s="43">
        <f t="shared" si="32"/>
        <v>1491.9974356591856</v>
      </c>
      <c r="W27" s="43">
        <f t="shared" si="32"/>
        <v>1566.597307442145</v>
      </c>
      <c r="X27" s="43">
        <f t="shared" si="32"/>
        <v>1644.9271728142521</v>
      </c>
      <c r="Y27" s="43">
        <f t="shared" si="32"/>
        <v>1727.173531454965</v>
      </c>
      <c r="Z27" s="43">
        <f t="shared" si="32"/>
        <v>1813.5322080277133</v>
      </c>
    </row>
    <row r="28" spans="1:26" ht="12" customHeight="1">
      <c r="A28" s="44">
        <v>19</v>
      </c>
      <c r="B28" s="59" t="s">
        <v>23</v>
      </c>
      <c r="C28" s="50">
        <f aca="true" t="shared" si="33" ref="C28:L28">C53*C54</f>
        <v>270</v>
      </c>
      <c r="D28" s="50">
        <f t="shared" si="33"/>
        <v>270</v>
      </c>
      <c r="E28" s="50">
        <f t="shared" si="33"/>
        <v>345</v>
      </c>
      <c r="F28" s="50">
        <f t="shared" si="33"/>
        <v>345</v>
      </c>
      <c r="G28" s="51">
        <f t="shared" si="33"/>
        <v>307.5</v>
      </c>
      <c r="H28" s="50">
        <f t="shared" si="33"/>
        <v>270</v>
      </c>
      <c r="I28" s="50">
        <f t="shared" si="33"/>
        <v>255</v>
      </c>
      <c r="J28" s="51">
        <f t="shared" si="33"/>
        <v>217.5</v>
      </c>
      <c r="K28" s="50">
        <f t="shared" si="33"/>
        <v>180</v>
      </c>
      <c r="L28" s="50">
        <f t="shared" si="33"/>
        <v>150</v>
      </c>
      <c r="M28" s="50">
        <f aca="true" t="shared" si="34" ref="M28:Z28">M53*M54</f>
        <v>157.5</v>
      </c>
      <c r="N28" s="60">
        <f t="shared" si="34"/>
        <v>165.375</v>
      </c>
      <c r="O28" s="60">
        <f t="shared" si="34"/>
        <v>173.64374999999998</v>
      </c>
      <c r="P28" s="60">
        <f t="shared" si="34"/>
        <v>182.3259375</v>
      </c>
      <c r="Q28" s="60">
        <f t="shared" si="34"/>
        <v>191.44223437500003</v>
      </c>
      <c r="R28" s="60">
        <f t="shared" si="34"/>
        <v>201.01434609375005</v>
      </c>
      <c r="S28" s="60">
        <f t="shared" si="34"/>
        <v>211.06506339843756</v>
      </c>
      <c r="T28" s="60">
        <f t="shared" si="34"/>
        <v>221.61831656835946</v>
      </c>
      <c r="U28" s="60">
        <f t="shared" si="34"/>
        <v>232.69923239677743</v>
      </c>
      <c r="V28" s="60">
        <f t="shared" si="34"/>
        <v>244.33419401661632</v>
      </c>
      <c r="W28" s="60">
        <f t="shared" si="34"/>
        <v>256.5509037174471</v>
      </c>
      <c r="X28" s="60">
        <f t="shared" si="34"/>
        <v>269.3784489033195</v>
      </c>
      <c r="Y28" s="60">
        <f t="shared" si="34"/>
        <v>282.84737134848547</v>
      </c>
      <c r="Z28" s="60">
        <f t="shared" si="34"/>
        <v>296.98973991590975</v>
      </c>
    </row>
    <row r="29" spans="1:26" ht="12" customHeight="1">
      <c r="A29" s="44">
        <v>20</v>
      </c>
      <c r="B29" s="59" t="s">
        <v>24</v>
      </c>
      <c r="C29" s="50">
        <f aca="true" t="shared" si="35" ref="C29:L29">C27-C28</f>
        <v>180</v>
      </c>
      <c r="D29" s="50">
        <f t="shared" si="35"/>
        <v>230</v>
      </c>
      <c r="E29" s="50">
        <f t="shared" si="35"/>
        <v>155</v>
      </c>
      <c r="F29" s="50">
        <f t="shared" si="35"/>
        <v>105</v>
      </c>
      <c r="G29" s="51">
        <f t="shared" si="35"/>
        <v>392.5</v>
      </c>
      <c r="H29" s="50">
        <f t="shared" si="35"/>
        <v>500</v>
      </c>
      <c r="I29" s="50">
        <f t="shared" si="35"/>
        <v>541</v>
      </c>
      <c r="J29" s="51">
        <f t="shared" si="35"/>
        <v>613.3</v>
      </c>
      <c r="K29" s="51">
        <f t="shared" si="35"/>
        <v>692.3399999999999</v>
      </c>
      <c r="L29" s="51">
        <f t="shared" si="35"/>
        <v>765.9569999999999</v>
      </c>
      <c r="M29" s="51">
        <f aca="true" t="shared" si="36" ref="M29:Z29">M27-M28</f>
        <v>804.2548499999998</v>
      </c>
      <c r="N29" s="43">
        <f t="shared" si="36"/>
        <v>844.4675924999998</v>
      </c>
      <c r="O29" s="43">
        <f t="shared" si="36"/>
        <v>886.6909721249999</v>
      </c>
      <c r="P29" s="43">
        <f t="shared" si="36"/>
        <v>931.02552073125</v>
      </c>
      <c r="Q29" s="43">
        <f t="shared" si="36"/>
        <v>977.5767967678125</v>
      </c>
      <c r="R29" s="43">
        <f t="shared" si="36"/>
        <v>1026.4556366062034</v>
      </c>
      <c r="S29" s="43">
        <f t="shared" si="36"/>
        <v>1077.7784184365134</v>
      </c>
      <c r="T29" s="43">
        <f t="shared" si="36"/>
        <v>1131.6673393583394</v>
      </c>
      <c r="U29" s="43">
        <f t="shared" si="36"/>
        <v>1188.2507063262565</v>
      </c>
      <c r="V29" s="43">
        <f t="shared" si="36"/>
        <v>1247.6632416425693</v>
      </c>
      <c r="W29" s="43">
        <f t="shared" si="36"/>
        <v>1310.046403724698</v>
      </c>
      <c r="X29" s="43">
        <f t="shared" si="36"/>
        <v>1375.5487239109325</v>
      </c>
      <c r="Y29" s="43">
        <f t="shared" si="36"/>
        <v>1444.3261601064796</v>
      </c>
      <c r="Z29" s="43">
        <f t="shared" si="36"/>
        <v>1516.5424681118036</v>
      </c>
    </row>
    <row r="30" spans="1:26" ht="12.75" customHeight="1">
      <c r="A30" s="44">
        <v>21</v>
      </c>
      <c r="B30" s="59" t="s">
        <v>25</v>
      </c>
      <c r="C30" s="59">
        <f aca="true" t="shared" si="37" ref="C30:Z30">$A107*C29</f>
        <v>62.99999999999999</v>
      </c>
      <c r="D30" s="163">
        <f t="shared" si="37"/>
        <v>80.5</v>
      </c>
      <c r="E30" s="51">
        <f t="shared" si="37"/>
        <v>54.25</v>
      </c>
      <c r="F30" s="51">
        <f t="shared" si="37"/>
        <v>36.75</v>
      </c>
      <c r="G30" s="51">
        <f t="shared" si="37"/>
        <v>137.375</v>
      </c>
      <c r="H30" s="50">
        <f t="shared" si="37"/>
        <v>175</v>
      </c>
      <c r="I30" s="51">
        <f t="shared" si="37"/>
        <v>189.35</v>
      </c>
      <c r="J30" s="51">
        <f t="shared" si="37"/>
        <v>214.65499999999997</v>
      </c>
      <c r="K30" s="51">
        <f t="shared" si="37"/>
        <v>242.31899999999996</v>
      </c>
      <c r="L30" s="51">
        <f t="shared" si="37"/>
        <v>268.08494999999994</v>
      </c>
      <c r="M30" s="51">
        <f t="shared" si="37"/>
        <v>281.48919749999993</v>
      </c>
      <c r="N30" s="43">
        <f t="shared" si="37"/>
        <v>295.56365737499993</v>
      </c>
      <c r="O30" s="43">
        <f t="shared" si="37"/>
        <v>310.34184024374997</v>
      </c>
      <c r="P30" s="43">
        <f t="shared" si="37"/>
        <v>325.8589322559375</v>
      </c>
      <c r="Q30" s="43">
        <f t="shared" si="37"/>
        <v>342.15187886873434</v>
      </c>
      <c r="R30" s="43">
        <f t="shared" si="37"/>
        <v>359.25947281217117</v>
      </c>
      <c r="S30" s="43">
        <f t="shared" si="37"/>
        <v>377.2224464527797</v>
      </c>
      <c r="T30" s="43">
        <f t="shared" si="37"/>
        <v>396.08356877541877</v>
      </c>
      <c r="U30" s="43">
        <f t="shared" si="37"/>
        <v>415.88774721418974</v>
      </c>
      <c r="V30" s="43">
        <f t="shared" si="37"/>
        <v>436.68213457489924</v>
      </c>
      <c r="W30" s="43">
        <f t="shared" si="37"/>
        <v>458.5162413036442</v>
      </c>
      <c r="X30" s="43">
        <f t="shared" si="37"/>
        <v>481.44205336882635</v>
      </c>
      <c r="Y30" s="43">
        <f t="shared" si="37"/>
        <v>505.5141560372678</v>
      </c>
      <c r="Z30" s="43">
        <f t="shared" si="37"/>
        <v>530.7898638391313</v>
      </c>
    </row>
    <row r="31" spans="1:26" s="3" customFormat="1" ht="12" customHeight="1">
      <c r="A31" s="52">
        <v>22</v>
      </c>
      <c r="B31" s="61" t="s">
        <v>26</v>
      </c>
      <c r="C31" s="61">
        <f aca="true" t="shared" si="38" ref="C31:L31">C29-C30</f>
        <v>117</v>
      </c>
      <c r="D31" s="170">
        <f t="shared" si="38"/>
        <v>149.5</v>
      </c>
      <c r="E31" s="62">
        <f t="shared" si="38"/>
        <v>100.75</v>
      </c>
      <c r="F31" s="62">
        <f t="shared" si="38"/>
        <v>68.25</v>
      </c>
      <c r="G31" s="62">
        <f t="shared" si="38"/>
        <v>255.125</v>
      </c>
      <c r="H31" s="172">
        <f t="shared" si="38"/>
        <v>325</v>
      </c>
      <c r="I31" s="62">
        <f t="shared" si="38"/>
        <v>351.65</v>
      </c>
      <c r="J31" s="62">
        <f t="shared" si="38"/>
        <v>398.645</v>
      </c>
      <c r="K31" s="62">
        <f t="shared" si="38"/>
        <v>450.02099999999996</v>
      </c>
      <c r="L31" s="62">
        <f t="shared" si="38"/>
        <v>497.87204999999994</v>
      </c>
      <c r="M31" s="62">
        <f aca="true" t="shared" si="39" ref="M31:Z31">M29-M30</f>
        <v>522.7656524999999</v>
      </c>
      <c r="N31" s="63">
        <f t="shared" si="39"/>
        <v>548.9039351249999</v>
      </c>
      <c r="O31" s="63">
        <f t="shared" si="39"/>
        <v>576.34913188125</v>
      </c>
      <c r="P31" s="63">
        <f t="shared" si="39"/>
        <v>605.1665884753126</v>
      </c>
      <c r="Q31" s="63">
        <f t="shared" si="39"/>
        <v>635.4249178990782</v>
      </c>
      <c r="R31" s="63">
        <f t="shared" si="39"/>
        <v>667.1961637940321</v>
      </c>
      <c r="S31" s="63">
        <f t="shared" si="39"/>
        <v>700.5559719837338</v>
      </c>
      <c r="T31" s="63">
        <f t="shared" si="39"/>
        <v>735.5837705829206</v>
      </c>
      <c r="U31" s="63">
        <f t="shared" si="39"/>
        <v>772.3629591120667</v>
      </c>
      <c r="V31" s="63">
        <f t="shared" si="39"/>
        <v>810.9811070676701</v>
      </c>
      <c r="W31" s="63">
        <f t="shared" si="39"/>
        <v>851.5301624210538</v>
      </c>
      <c r="X31" s="63">
        <f t="shared" si="39"/>
        <v>894.1066705421061</v>
      </c>
      <c r="Y31" s="63">
        <f t="shared" si="39"/>
        <v>938.8120040692118</v>
      </c>
      <c r="Z31" s="63">
        <f t="shared" si="39"/>
        <v>985.7526042726723</v>
      </c>
    </row>
    <row r="32" spans="1:26" ht="10.5" hidden="1">
      <c r="A32" s="64" t="s">
        <v>27</v>
      </c>
      <c r="B32" s="59"/>
      <c r="C32" s="59"/>
      <c r="D32" s="163"/>
      <c r="E32" s="51"/>
      <c r="F32" s="51"/>
      <c r="G32" s="51"/>
      <c r="H32" s="50"/>
      <c r="I32" s="51"/>
      <c r="J32" s="51"/>
      <c r="K32" s="51"/>
      <c r="L32" s="51"/>
      <c r="M32" s="51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0.5" hidden="1">
      <c r="A33" s="64"/>
      <c r="B33" s="59"/>
      <c r="C33" s="24">
        <v>1</v>
      </c>
      <c r="D33" s="171">
        <f aca="true" t="shared" si="40" ref="D33:M33">C33+1</f>
        <v>2</v>
      </c>
      <c r="E33" s="173">
        <f t="shared" si="40"/>
        <v>3</v>
      </c>
      <c r="F33" s="24">
        <f t="shared" si="40"/>
        <v>4</v>
      </c>
      <c r="G33" s="173">
        <f t="shared" si="40"/>
        <v>5</v>
      </c>
      <c r="H33" s="174">
        <f t="shared" si="40"/>
        <v>6</v>
      </c>
      <c r="I33" s="173">
        <f t="shared" si="40"/>
        <v>7</v>
      </c>
      <c r="J33" s="173">
        <f t="shared" si="40"/>
        <v>8</v>
      </c>
      <c r="K33" s="173">
        <f t="shared" si="40"/>
        <v>9</v>
      </c>
      <c r="L33" s="173">
        <f t="shared" si="40"/>
        <v>10</v>
      </c>
      <c r="M33" s="24">
        <f t="shared" si="40"/>
        <v>11</v>
      </c>
      <c r="N33" s="13">
        <f aca="true" t="shared" si="41" ref="N33:Z33">M33+1</f>
        <v>12</v>
      </c>
      <c r="O33" s="13">
        <f t="shared" si="41"/>
        <v>13</v>
      </c>
      <c r="P33" s="13">
        <f t="shared" si="41"/>
        <v>14</v>
      </c>
      <c r="Q33" s="13">
        <f t="shared" si="41"/>
        <v>15</v>
      </c>
      <c r="R33" s="13">
        <f t="shared" si="41"/>
        <v>16</v>
      </c>
      <c r="S33" s="13">
        <f t="shared" si="41"/>
        <v>17</v>
      </c>
      <c r="T33" s="13">
        <f t="shared" si="41"/>
        <v>18</v>
      </c>
      <c r="U33" s="13">
        <f t="shared" si="41"/>
        <v>19</v>
      </c>
      <c r="V33" s="13">
        <f t="shared" si="41"/>
        <v>20</v>
      </c>
      <c r="W33" s="13">
        <f t="shared" si="41"/>
        <v>21</v>
      </c>
      <c r="X33" s="13">
        <f t="shared" si="41"/>
        <v>22</v>
      </c>
      <c r="Y33" s="13">
        <f t="shared" si="41"/>
        <v>23</v>
      </c>
      <c r="Z33" s="13">
        <f t="shared" si="41"/>
        <v>24</v>
      </c>
    </row>
    <row r="34" spans="1:26" s="3" customFormat="1" ht="10.5" hidden="1">
      <c r="A34" s="52">
        <v>22</v>
      </c>
      <c r="B34" s="61" t="s">
        <v>28</v>
      </c>
      <c r="C34" s="61">
        <f aca="true" t="shared" si="42" ref="C34:Z34">C31</f>
        <v>117</v>
      </c>
      <c r="D34" s="170">
        <f t="shared" si="42"/>
        <v>149.5</v>
      </c>
      <c r="E34" s="62">
        <f t="shared" si="42"/>
        <v>100.75</v>
      </c>
      <c r="F34" s="61">
        <f t="shared" si="42"/>
        <v>68.25</v>
      </c>
      <c r="G34" s="62">
        <f t="shared" si="42"/>
        <v>255.125</v>
      </c>
      <c r="H34" s="172">
        <f t="shared" si="42"/>
        <v>325</v>
      </c>
      <c r="I34" s="62">
        <f t="shared" si="42"/>
        <v>351.65</v>
      </c>
      <c r="J34" s="62">
        <f t="shared" si="42"/>
        <v>398.645</v>
      </c>
      <c r="K34" s="62">
        <f t="shared" si="42"/>
        <v>450.02099999999996</v>
      </c>
      <c r="L34" s="62">
        <f t="shared" si="42"/>
        <v>497.87204999999994</v>
      </c>
      <c r="M34" s="61">
        <f t="shared" si="42"/>
        <v>522.7656524999999</v>
      </c>
      <c r="N34" s="65">
        <f t="shared" si="42"/>
        <v>548.9039351249999</v>
      </c>
      <c r="O34" s="65">
        <f t="shared" si="42"/>
        <v>576.34913188125</v>
      </c>
      <c r="P34" s="65">
        <f t="shared" si="42"/>
        <v>605.1665884753126</v>
      </c>
      <c r="Q34" s="65">
        <f t="shared" si="42"/>
        <v>635.4249178990782</v>
      </c>
      <c r="R34" s="65">
        <f t="shared" si="42"/>
        <v>667.1961637940321</v>
      </c>
      <c r="S34" s="65">
        <f t="shared" si="42"/>
        <v>700.5559719837338</v>
      </c>
      <c r="T34" s="65">
        <f t="shared" si="42"/>
        <v>735.5837705829206</v>
      </c>
      <c r="U34" s="65">
        <f t="shared" si="42"/>
        <v>772.3629591120667</v>
      </c>
      <c r="V34" s="65">
        <f t="shared" si="42"/>
        <v>810.9811070676701</v>
      </c>
      <c r="W34" s="65">
        <f t="shared" si="42"/>
        <v>851.5301624210538</v>
      </c>
      <c r="X34" s="65">
        <f t="shared" si="42"/>
        <v>894.1066705421061</v>
      </c>
      <c r="Y34" s="65">
        <f t="shared" si="42"/>
        <v>938.8120040692118</v>
      </c>
      <c r="Z34" s="65">
        <f t="shared" si="42"/>
        <v>985.7526042726723</v>
      </c>
    </row>
    <row r="35" spans="1:26" ht="12" customHeight="1">
      <c r="A35" s="44">
        <v>23</v>
      </c>
      <c r="B35" s="59" t="s">
        <v>29</v>
      </c>
      <c r="C35" s="59">
        <f aca="true" t="shared" si="43" ref="C35:Z35">C26</f>
        <v>350</v>
      </c>
      <c r="D35" s="50">
        <f t="shared" si="43"/>
        <v>350</v>
      </c>
      <c r="E35" s="50">
        <f t="shared" si="43"/>
        <v>400</v>
      </c>
      <c r="F35" s="50">
        <f t="shared" si="43"/>
        <v>500</v>
      </c>
      <c r="G35" s="51">
        <f t="shared" si="43"/>
        <v>300</v>
      </c>
      <c r="H35" s="50">
        <f t="shared" si="43"/>
        <v>280</v>
      </c>
      <c r="I35" s="50">
        <f t="shared" si="43"/>
        <v>304</v>
      </c>
      <c r="J35" s="51">
        <f t="shared" si="43"/>
        <v>319.2</v>
      </c>
      <c r="K35" s="51">
        <f t="shared" si="43"/>
        <v>335.16</v>
      </c>
      <c r="L35" s="51">
        <f t="shared" si="43"/>
        <v>351.91800000000006</v>
      </c>
      <c r="M35" s="51">
        <f t="shared" si="43"/>
        <v>369.5139000000001</v>
      </c>
      <c r="N35" s="43">
        <f t="shared" si="43"/>
        <v>387.9895950000001</v>
      </c>
      <c r="O35" s="43">
        <f t="shared" si="43"/>
        <v>407.38907475000013</v>
      </c>
      <c r="P35" s="43">
        <f t="shared" si="43"/>
        <v>427.75852848750014</v>
      </c>
      <c r="Q35" s="43">
        <f t="shared" si="43"/>
        <v>449.1464549118752</v>
      </c>
      <c r="R35" s="43">
        <f t="shared" si="43"/>
        <v>471.603777657469</v>
      </c>
      <c r="S35" s="43">
        <f t="shared" si="43"/>
        <v>495.18396654034245</v>
      </c>
      <c r="T35" s="43">
        <f t="shared" si="43"/>
        <v>519.9431648673595</v>
      </c>
      <c r="U35" s="43">
        <f t="shared" si="43"/>
        <v>545.9403231107275</v>
      </c>
      <c r="V35" s="43">
        <f t="shared" si="43"/>
        <v>573.2373392662639</v>
      </c>
      <c r="W35" s="43">
        <f t="shared" si="43"/>
        <v>601.8992062295771</v>
      </c>
      <c r="X35" s="43">
        <f t="shared" si="43"/>
        <v>631.994166541056</v>
      </c>
      <c r="Y35" s="43">
        <f t="shared" si="43"/>
        <v>663.5938748681087</v>
      </c>
      <c r="Z35" s="43">
        <f t="shared" si="43"/>
        <v>696.7735686115142</v>
      </c>
    </row>
    <row r="36" spans="1:26" ht="12" customHeight="1">
      <c r="A36" s="44">
        <v>24</v>
      </c>
      <c r="B36" s="59" t="s">
        <v>30</v>
      </c>
      <c r="C36" s="59">
        <f aca="true" t="shared" si="44" ref="C36:L36">D53-C53</f>
        <v>0</v>
      </c>
      <c r="D36" s="50">
        <f t="shared" si="44"/>
        <v>500</v>
      </c>
      <c r="E36" s="50">
        <f t="shared" si="44"/>
        <v>0</v>
      </c>
      <c r="F36" s="50">
        <f t="shared" si="44"/>
        <v>-250</v>
      </c>
      <c r="G36" s="51">
        <f t="shared" si="44"/>
        <v>-250</v>
      </c>
      <c r="H36" s="50">
        <f t="shared" si="44"/>
        <v>-100</v>
      </c>
      <c r="I36" s="50">
        <f t="shared" si="44"/>
        <v>-250</v>
      </c>
      <c r="J36" s="50">
        <f t="shared" si="44"/>
        <v>-250</v>
      </c>
      <c r="K36" s="50">
        <f t="shared" si="44"/>
        <v>-200</v>
      </c>
      <c r="L36" s="50">
        <f t="shared" si="44"/>
        <v>50</v>
      </c>
      <c r="M36" s="51">
        <f aca="true" t="shared" si="45" ref="M36:Z36">N53-M53</f>
        <v>52.5</v>
      </c>
      <c r="N36" s="43">
        <f t="shared" si="45"/>
        <v>55.125</v>
      </c>
      <c r="O36" s="43">
        <f t="shared" si="45"/>
        <v>57.881250000000136</v>
      </c>
      <c r="P36" s="43">
        <f t="shared" si="45"/>
        <v>60.775312500000155</v>
      </c>
      <c r="Q36" s="43">
        <f t="shared" si="45"/>
        <v>63.81407812500015</v>
      </c>
      <c r="R36" s="43">
        <f t="shared" si="45"/>
        <v>67.00478203124999</v>
      </c>
      <c r="S36" s="43">
        <f t="shared" si="45"/>
        <v>70.35502113281268</v>
      </c>
      <c r="T36" s="43">
        <f t="shared" si="45"/>
        <v>73.87277218945314</v>
      </c>
      <c r="U36" s="43">
        <f t="shared" si="45"/>
        <v>77.56641079892597</v>
      </c>
      <c r="V36" s="43">
        <f t="shared" si="45"/>
        <v>81.44473133887209</v>
      </c>
      <c r="W36" s="43">
        <f t="shared" si="45"/>
        <v>85.51696790581582</v>
      </c>
      <c r="X36" s="43">
        <f t="shared" si="45"/>
        <v>89.79281630110654</v>
      </c>
      <c r="Y36" s="43">
        <f t="shared" si="45"/>
        <v>94.28245711616182</v>
      </c>
      <c r="Z36" s="43">
        <f t="shared" si="45"/>
        <v>98.99657997197005</v>
      </c>
    </row>
    <row r="37" spans="1:26" ht="12" customHeight="1">
      <c r="A37" s="44">
        <v>25</v>
      </c>
      <c r="B37" s="59" t="s">
        <v>31</v>
      </c>
      <c r="C37" s="59">
        <f aca="true" t="shared" si="46" ref="C37:L37">C19-D19</f>
        <v>-80</v>
      </c>
      <c r="D37" s="50">
        <f t="shared" si="46"/>
        <v>-80</v>
      </c>
      <c r="E37" s="50">
        <f t="shared" si="46"/>
        <v>-80</v>
      </c>
      <c r="F37" s="59">
        <f t="shared" si="46"/>
        <v>-80</v>
      </c>
      <c r="G37" s="51">
        <f t="shared" si="46"/>
        <v>-80</v>
      </c>
      <c r="H37" s="50">
        <f t="shared" si="46"/>
        <v>-70</v>
      </c>
      <c r="I37" s="50">
        <f t="shared" si="46"/>
        <v>-70</v>
      </c>
      <c r="J37" s="50">
        <f t="shared" si="46"/>
        <v>-70</v>
      </c>
      <c r="K37" s="51">
        <f t="shared" si="46"/>
        <v>-79</v>
      </c>
      <c r="L37" s="51">
        <f t="shared" si="46"/>
        <v>-84.44999999999982</v>
      </c>
      <c r="M37" s="51">
        <f aca="true" t="shared" si="47" ref="M37:Z37">M19-N19</f>
        <v>-88.67250000000013</v>
      </c>
      <c r="N37" s="43">
        <f t="shared" si="47"/>
        <v>-93.10612500000002</v>
      </c>
      <c r="O37" s="35">
        <f t="shared" si="47"/>
        <v>-97.76143125000021</v>
      </c>
      <c r="P37" s="35">
        <f t="shared" si="47"/>
        <v>-102.64950281250003</v>
      </c>
      <c r="Q37" s="35">
        <f t="shared" si="47"/>
        <v>-107.78197795312508</v>
      </c>
      <c r="R37" s="35">
        <f t="shared" si="47"/>
        <v>-113.17107685078145</v>
      </c>
      <c r="S37" s="35">
        <f t="shared" si="47"/>
        <v>-118.82963069332027</v>
      </c>
      <c r="T37" s="35">
        <f t="shared" si="47"/>
        <v>-124.77111222798703</v>
      </c>
      <c r="U37" s="35">
        <f t="shared" si="47"/>
        <v>-131.00966783938566</v>
      </c>
      <c r="V37" s="35">
        <f t="shared" si="47"/>
        <v>-137.56015123135512</v>
      </c>
      <c r="W37" s="35">
        <f t="shared" si="47"/>
        <v>-144.43815879292242</v>
      </c>
      <c r="X37" s="35">
        <f t="shared" si="47"/>
        <v>-151.66006673256925</v>
      </c>
      <c r="Y37" s="35">
        <f t="shared" si="47"/>
        <v>-159.24307006919753</v>
      </c>
      <c r="Z37" s="35">
        <f t="shared" si="47"/>
        <v>-167.20522357265736</v>
      </c>
    </row>
    <row r="38" spans="1:26" ht="12" customHeight="1">
      <c r="A38" s="44">
        <v>26</v>
      </c>
      <c r="B38" s="59" t="s">
        <v>32</v>
      </c>
      <c r="C38" s="59">
        <f aca="true" t="shared" si="48" ref="C38:L38">C10-D10</f>
        <v>-300</v>
      </c>
      <c r="D38" s="50">
        <f t="shared" si="48"/>
        <v>-900</v>
      </c>
      <c r="E38" s="50">
        <f t="shared" si="48"/>
        <v>-400</v>
      </c>
      <c r="F38" s="50">
        <f t="shared" si="48"/>
        <v>-200</v>
      </c>
      <c r="G38" s="51">
        <f t="shared" si="48"/>
        <v>-200</v>
      </c>
      <c r="H38" s="50">
        <f t="shared" si="48"/>
        <v>-400</v>
      </c>
      <c r="I38" s="50">
        <f t="shared" si="48"/>
        <v>-304</v>
      </c>
      <c r="J38" s="51">
        <f t="shared" si="48"/>
        <v>-319.1999999999998</v>
      </c>
      <c r="K38" s="51">
        <f t="shared" si="48"/>
        <v>-335.15999999999985</v>
      </c>
      <c r="L38" s="51">
        <f t="shared" si="48"/>
        <v>-351.91799999999967</v>
      </c>
      <c r="M38" s="51">
        <f aca="true" t="shared" si="49" ref="M38:Z38">M10-N10</f>
        <v>-369.513899999999</v>
      </c>
      <c r="N38" s="43">
        <f t="shared" si="49"/>
        <v>-387.9895950000009</v>
      </c>
      <c r="O38" s="43">
        <f t="shared" si="49"/>
        <v>-407.38907474999996</v>
      </c>
      <c r="P38" s="43">
        <f t="shared" si="49"/>
        <v>-427.75852848749946</v>
      </c>
      <c r="Q38" s="43">
        <f t="shared" si="49"/>
        <v>-449.1464549118755</v>
      </c>
      <c r="R38" s="43">
        <f t="shared" si="49"/>
        <v>-471.6037776574685</v>
      </c>
      <c r="S38" s="43">
        <f t="shared" si="49"/>
        <v>-495.1839665403422</v>
      </c>
      <c r="T38" s="43">
        <f t="shared" si="49"/>
        <v>-519.9431648673599</v>
      </c>
      <c r="U38" s="43">
        <f t="shared" si="49"/>
        <v>-545.9403231107262</v>
      </c>
      <c r="V38" s="43">
        <f t="shared" si="49"/>
        <v>-573.237339266263</v>
      </c>
      <c r="W38" s="43">
        <f t="shared" si="49"/>
        <v>-601.8992062295765</v>
      </c>
      <c r="X38" s="43">
        <f t="shared" si="49"/>
        <v>-631.9941665410552</v>
      </c>
      <c r="Y38" s="43">
        <f t="shared" si="49"/>
        <v>-663.593874868111</v>
      </c>
      <c r="Z38" s="43">
        <f t="shared" si="49"/>
        <v>-696.7735686115138</v>
      </c>
    </row>
    <row r="39" spans="1:26" ht="12" customHeight="1">
      <c r="A39" s="52">
        <v>27</v>
      </c>
      <c r="B39" s="61" t="s">
        <v>33</v>
      </c>
      <c r="C39" s="61">
        <f aca="true" t="shared" si="50" ref="C39:L39">C31+C35+C38+C36+C37</f>
        <v>87</v>
      </c>
      <c r="D39" s="170">
        <f t="shared" si="50"/>
        <v>19.5</v>
      </c>
      <c r="E39" s="62">
        <f t="shared" si="50"/>
        <v>20.75</v>
      </c>
      <c r="F39" s="62">
        <f t="shared" si="50"/>
        <v>38.25</v>
      </c>
      <c r="G39" s="62">
        <f t="shared" si="50"/>
        <v>25.125</v>
      </c>
      <c r="H39" s="172">
        <f t="shared" si="50"/>
        <v>35</v>
      </c>
      <c r="I39" s="62">
        <f t="shared" si="50"/>
        <v>31.649999999999977</v>
      </c>
      <c r="J39" s="62">
        <f t="shared" si="50"/>
        <v>78.64500000000021</v>
      </c>
      <c r="K39" s="62">
        <f t="shared" si="50"/>
        <v>171.02100000000019</v>
      </c>
      <c r="L39" s="62">
        <f t="shared" si="50"/>
        <v>463.4220500000006</v>
      </c>
      <c r="M39" s="62">
        <f aca="true" t="shared" si="51" ref="M39:Z39">M31+M35+M38+M36+M37</f>
        <v>486.59315250000077</v>
      </c>
      <c r="N39" s="63">
        <f t="shared" si="51"/>
        <v>510.92281012499905</v>
      </c>
      <c r="O39" s="63">
        <f t="shared" si="51"/>
        <v>536.46895063125</v>
      </c>
      <c r="P39" s="63">
        <f t="shared" si="51"/>
        <v>563.2923981628135</v>
      </c>
      <c r="Q39" s="63">
        <f t="shared" si="51"/>
        <v>591.4570180709529</v>
      </c>
      <c r="R39" s="63">
        <f t="shared" si="51"/>
        <v>621.0298689745011</v>
      </c>
      <c r="S39" s="63">
        <f t="shared" si="51"/>
        <v>652.0813624232264</v>
      </c>
      <c r="T39" s="63">
        <f t="shared" si="51"/>
        <v>684.6854305443865</v>
      </c>
      <c r="U39" s="63">
        <f t="shared" si="51"/>
        <v>718.9197020716083</v>
      </c>
      <c r="V39" s="63">
        <f t="shared" si="51"/>
        <v>754.865687175188</v>
      </c>
      <c r="W39" s="63">
        <f t="shared" si="51"/>
        <v>792.6089715339476</v>
      </c>
      <c r="X39" s="63">
        <f t="shared" si="51"/>
        <v>832.2394201106442</v>
      </c>
      <c r="Y39" s="63">
        <f t="shared" si="51"/>
        <v>873.8513911161738</v>
      </c>
      <c r="Z39" s="63">
        <f t="shared" si="51"/>
        <v>917.5439606719854</v>
      </c>
    </row>
    <row r="40" spans="1:26" s="3" customFormat="1" ht="12" customHeight="1">
      <c r="A40" s="52">
        <v>28</v>
      </c>
      <c r="B40" s="61" t="s">
        <v>34</v>
      </c>
      <c r="C40" s="61">
        <f aca="true" t="shared" si="52" ref="C40:Z40">C39+C28*(1-$A107)-C36</f>
        <v>262.5</v>
      </c>
      <c r="D40" s="172">
        <f t="shared" si="52"/>
        <v>-305</v>
      </c>
      <c r="E40" s="172">
        <f t="shared" si="52"/>
        <v>245</v>
      </c>
      <c r="F40" s="170">
        <f t="shared" si="52"/>
        <v>512.5</v>
      </c>
      <c r="G40" s="62">
        <f t="shared" si="52"/>
        <v>475</v>
      </c>
      <c r="H40" s="170">
        <f t="shared" si="52"/>
        <v>310.5</v>
      </c>
      <c r="I40" s="62">
        <f t="shared" si="52"/>
        <v>447.4</v>
      </c>
      <c r="J40" s="62">
        <f t="shared" si="52"/>
        <v>470.0200000000002</v>
      </c>
      <c r="K40" s="62">
        <f t="shared" si="52"/>
        <v>488.0210000000002</v>
      </c>
      <c r="L40" s="62">
        <f t="shared" si="52"/>
        <v>510.9220500000006</v>
      </c>
      <c r="M40" s="62">
        <f t="shared" si="52"/>
        <v>536.4681525000008</v>
      </c>
      <c r="N40" s="63">
        <f t="shared" si="52"/>
        <v>563.291560124999</v>
      </c>
      <c r="O40" s="63">
        <f t="shared" si="52"/>
        <v>591.4561381312499</v>
      </c>
      <c r="P40" s="63">
        <f t="shared" si="52"/>
        <v>621.0289450378133</v>
      </c>
      <c r="Q40" s="63">
        <f t="shared" si="52"/>
        <v>652.0803922897028</v>
      </c>
      <c r="R40" s="63">
        <f t="shared" si="52"/>
        <v>684.6844119041887</v>
      </c>
      <c r="S40" s="63">
        <f t="shared" si="52"/>
        <v>718.9186324993982</v>
      </c>
      <c r="T40" s="63">
        <f t="shared" si="52"/>
        <v>754.864564124367</v>
      </c>
      <c r="U40" s="63">
        <f t="shared" si="52"/>
        <v>792.6077923305877</v>
      </c>
      <c r="V40" s="63">
        <f t="shared" si="52"/>
        <v>832.2381819471166</v>
      </c>
      <c r="W40" s="63">
        <f t="shared" si="52"/>
        <v>873.8500910444725</v>
      </c>
      <c r="X40" s="63">
        <f t="shared" si="52"/>
        <v>917.5425955966954</v>
      </c>
      <c r="Y40" s="63">
        <f t="shared" si="52"/>
        <v>963.4197253765276</v>
      </c>
      <c r="Z40" s="63">
        <f t="shared" si="52"/>
        <v>1011.5907116453566</v>
      </c>
    </row>
    <row r="41" spans="2:27" ht="15" customHeight="1" hidden="1">
      <c r="B41" s="2" t="s">
        <v>35</v>
      </c>
      <c r="C41" s="28"/>
      <c r="D41" s="25"/>
      <c r="E41" s="33">
        <f aca="true" t="shared" si="53" ref="E41:AA41">D40/C40-1</f>
        <v>-2.161904761904762</v>
      </c>
      <c r="F41" s="33">
        <f t="shared" si="53"/>
        <v>-1.8032786885245902</v>
      </c>
      <c r="G41" s="25">
        <f t="shared" si="53"/>
        <v>1.0918367346938775</v>
      </c>
      <c r="H41" s="25">
        <f t="shared" si="53"/>
        <v>-0.07317073170731703</v>
      </c>
      <c r="I41" s="25">
        <f t="shared" si="53"/>
        <v>-0.34631578947368424</v>
      </c>
      <c r="J41" s="25">
        <f t="shared" si="53"/>
        <v>0.44090177133655395</v>
      </c>
      <c r="K41" s="25">
        <f t="shared" si="53"/>
        <v>0.0505587840858297</v>
      </c>
      <c r="L41" s="25">
        <f t="shared" si="53"/>
        <v>0.03829837028211558</v>
      </c>
      <c r="M41" s="25">
        <f t="shared" si="53"/>
        <v>0.04692636177541609</v>
      </c>
      <c r="N41" s="25">
        <f t="shared" si="53"/>
        <v>0.050000000000000266</v>
      </c>
      <c r="O41" s="25">
        <f t="shared" si="53"/>
        <v>0.049999999999996714</v>
      </c>
      <c r="P41" s="25">
        <f t="shared" si="53"/>
        <v>0.0500000000000016</v>
      </c>
      <c r="Q41" s="25">
        <f t="shared" si="53"/>
        <v>0.0500000000000016</v>
      </c>
      <c r="R41" s="5">
        <f t="shared" si="53"/>
        <v>0.049999999999998046</v>
      </c>
      <c r="S41" s="5">
        <f t="shared" si="53"/>
        <v>0.050000000000001155</v>
      </c>
      <c r="T41" s="5">
        <f t="shared" si="53"/>
        <v>0.050000000000000044</v>
      </c>
      <c r="U41" s="5">
        <f t="shared" si="53"/>
        <v>0.04999999999999849</v>
      </c>
      <c r="V41" s="5">
        <f t="shared" si="53"/>
        <v>0.05000000000000315</v>
      </c>
      <c r="W41" s="5">
        <f t="shared" si="53"/>
        <v>0.04999999999999938</v>
      </c>
      <c r="X41" s="5">
        <f t="shared" si="53"/>
        <v>0.050000000000000044</v>
      </c>
      <c r="Y41" s="5">
        <f t="shared" si="53"/>
        <v>0.049999999999999156</v>
      </c>
      <c r="Z41" s="5">
        <f t="shared" si="53"/>
        <v>0.04999999999999716</v>
      </c>
      <c r="AA41" s="5">
        <f t="shared" si="53"/>
        <v>0.05000000000000271</v>
      </c>
    </row>
    <row r="42" spans="2:27" ht="15" customHeight="1" hidden="1">
      <c r="B42" s="35" t="s">
        <v>36</v>
      </c>
      <c r="C42" s="66">
        <v>1</v>
      </c>
      <c r="D42" s="66">
        <v>1</v>
      </c>
      <c r="E42" s="66">
        <v>1</v>
      </c>
      <c r="F42" s="66">
        <v>1</v>
      </c>
      <c r="G42" s="66">
        <v>1</v>
      </c>
      <c r="H42" s="66">
        <v>1</v>
      </c>
      <c r="I42" s="66">
        <v>1</v>
      </c>
      <c r="J42" s="66">
        <v>1</v>
      </c>
      <c r="K42" s="66">
        <v>1</v>
      </c>
      <c r="L42" s="66">
        <v>1</v>
      </c>
      <c r="M42" s="66">
        <v>1</v>
      </c>
      <c r="N42" s="66">
        <v>1</v>
      </c>
      <c r="O42" s="66">
        <v>1</v>
      </c>
      <c r="P42" s="67">
        <v>1</v>
      </c>
      <c r="Q42" s="67">
        <v>1</v>
      </c>
      <c r="R42" s="68">
        <v>1</v>
      </c>
      <c r="S42" s="68">
        <v>1</v>
      </c>
      <c r="T42" s="68">
        <v>1</v>
      </c>
      <c r="U42" s="68">
        <v>1</v>
      </c>
      <c r="V42" s="68">
        <v>1</v>
      </c>
      <c r="W42" s="68">
        <v>1</v>
      </c>
      <c r="X42" s="68">
        <v>1</v>
      </c>
      <c r="Y42" s="68">
        <v>1</v>
      </c>
      <c r="Z42" s="68">
        <v>1</v>
      </c>
      <c r="AA42" s="68">
        <v>1</v>
      </c>
    </row>
    <row r="43" spans="2:27" ht="12" customHeight="1" hidden="1">
      <c r="B43" s="35" t="s">
        <v>37</v>
      </c>
      <c r="C43" s="69">
        <v>0.12</v>
      </c>
      <c r="D43" s="69">
        <v>0.12</v>
      </c>
      <c r="E43" s="69">
        <v>0.12</v>
      </c>
      <c r="F43" s="69">
        <v>0.12</v>
      </c>
      <c r="G43" s="69">
        <v>0.12</v>
      </c>
      <c r="H43" s="69">
        <v>0.12</v>
      </c>
      <c r="I43" s="69">
        <v>0.12</v>
      </c>
      <c r="J43" s="69">
        <v>0.12</v>
      </c>
      <c r="K43" s="69">
        <v>0.12</v>
      </c>
      <c r="L43" s="69">
        <v>0.12</v>
      </c>
      <c r="M43" s="69">
        <v>0.12</v>
      </c>
      <c r="N43" s="69">
        <v>0.12</v>
      </c>
      <c r="O43" s="69">
        <v>0.12</v>
      </c>
      <c r="P43" s="69">
        <v>0.12</v>
      </c>
      <c r="Q43" s="69">
        <v>0.12</v>
      </c>
      <c r="R43" s="70">
        <v>0.12</v>
      </c>
      <c r="S43" s="70">
        <v>0.12</v>
      </c>
      <c r="T43" s="70">
        <v>0.12</v>
      </c>
      <c r="U43" s="70">
        <v>0.12</v>
      </c>
      <c r="V43" s="70">
        <v>0.12</v>
      </c>
      <c r="W43" s="70">
        <v>0.12</v>
      </c>
      <c r="X43" s="70">
        <v>0.12</v>
      </c>
      <c r="Y43" s="70">
        <v>0.12</v>
      </c>
      <c r="Z43" s="70">
        <v>0.12</v>
      </c>
      <c r="AA43" s="70">
        <v>0.12</v>
      </c>
    </row>
    <row r="44" spans="2:27" ht="12" customHeight="1" hidden="1">
      <c r="B44" s="35" t="s">
        <v>38</v>
      </c>
      <c r="C44" s="69">
        <v>0.08</v>
      </c>
      <c r="D44" s="69">
        <v>0.08</v>
      </c>
      <c r="E44" s="69">
        <v>0.08</v>
      </c>
      <c r="F44" s="69">
        <v>0.08</v>
      </c>
      <c r="G44" s="69">
        <v>0.08</v>
      </c>
      <c r="H44" s="69">
        <v>0.08</v>
      </c>
      <c r="I44" s="69">
        <v>0.08</v>
      </c>
      <c r="J44" s="69">
        <v>0.08</v>
      </c>
      <c r="K44" s="69">
        <v>0.08</v>
      </c>
      <c r="L44" s="69">
        <v>0.08</v>
      </c>
      <c r="M44" s="69">
        <v>0.08</v>
      </c>
      <c r="N44" s="69">
        <v>0.08</v>
      </c>
      <c r="O44" s="69">
        <v>0.08</v>
      </c>
      <c r="P44" s="69">
        <v>0.08</v>
      </c>
      <c r="Q44" s="69">
        <v>0.08</v>
      </c>
      <c r="R44" s="70">
        <v>0.08</v>
      </c>
      <c r="S44" s="70">
        <v>0.08</v>
      </c>
      <c r="T44" s="70">
        <v>0.08</v>
      </c>
      <c r="U44" s="70">
        <v>0.08</v>
      </c>
      <c r="V44" s="70">
        <v>0.08</v>
      </c>
      <c r="W44" s="70">
        <v>0.08</v>
      </c>
      <c r="X44" s="70">
        <v>0.08</v>
      </c>
      <c r="Y44" s="70">
        <v>0.08</v>
      </c>
      <c r="Z44" s="70">
        <v>0.08</v>
      </c>
      <c r="AA44" s="70">
        <v>0.08</v>
      </c>
    </row>
    <row r="45" spans="1:27" s="3" customFormat="1" ht="12.75" customHeight="1">
      <c r="A45" s="12">
        <v>35</v>
      </c>
      <c r="B45" s="3" t="s">
        <v>39</v>
      </c>
      <c r="C45" s="26">
        <f aca="true" t="shared" si="54" ref="C45:L45">C43+C42*C44</f>
        <v>0.2</v>
      </c>
      <c r="D45" s="26">
        <f t="shared" si="54"/>
        <v>0.2</v>
      </c>
      <c r="E45" s="26">
        <f t="shared" si="54"/>
        <v>0.2</v>
      </c>
      <c r="F45" s="26">
        <f t="shared" si="54"/>
        <v>0.2</v>
      </c>
      <c r="G45" s="26">
        <f t="shared" si="54"/>
        <v>0.2</v>
      </c>
      <c r="H45" s="26">
        <f t="shared" si="54"/>
        <v>0.2</v>
      </c>
      <c r="I45" s="26">
        <f t="shared" si="54"/>
        <v>0.2</v>
      </c>
      <c r="J45" s="26">
        <f t="shared" si="54"/>
        <v>0.2</v>
      </c>
      <c r="K45" s="26">
        <f t="shared" si="54"/>
        <v>0.2</v>
      </c>
      <c r="L45" s="26">
        <f t="shared" si="54"/>
        <v>0.2</v>
      </c>
      <c r="M45" s="26">
        <f aca="true" t="shared" si="55" ref="M45:AA45">M43+M42*M44</f>
        <v>0.2</v>
      </c>
      <c r="N45" s="26">
        <f t="shared" si="55"/>
        <v>0.2</v>
      </c>
      <c r="O45" s="26">
        <f t="shared" si="55"/>
        <v>0.2</v>
      </c>
      <c r="P45" s="26">
        <f t="shared" si="55"/>
        <v>0.2</v>
      </c>
      <c r="Q45" s="26">
        <f t="shared" si="55"/>
        <v>0.2</v>
      </c>
      <c r="R45" s="23">
        <f t="shared" si="55"/>
        <v>0.2</v>
      </c>
      <c r="S45" s="23">
        <f t="shared" si="55"/>
        <v>0.2</v>
      </c>
      <c r="T45" s="23">
        <f t="shared" si="55"/>
        <v>0.2</v>
      </c>
      <c r="U45" s="23">
        <f t="shared" si="55"/>
        <v>0.2</v>
      </c>
      <c r="V45" s="23">
        <f t="shared" si="55"/>
        <v>0.2</v>
      </c>
      <c r="W45" s="23">
        <f t="shared" si="55"/>
        <v>0.2</v>
      </c>
      <c r="X45" s="23">
        <f t="shared" si="55"/>
        <v>0.2</v>
      </c>
      <c r="Y45" s="23">
        <f t="shared" si="55"/>
        <v>0.2</v>
      </c>
      <c r="Z45" s="23">
        <f t="shared" si="55"/>
        <v>0.2</v>
      </c>
      <c r="AA45" s="23">
        <f t="shared" si="55"/>
        <v>0.2</v>
      </c>
    </row>
    <row r="46" spans="1:27" ht="12.75" customHeight="1" hidden="1">
      <c r="A46" s="177"/>
      <c r="B46" s="58" t="s">
        <v>40</v>
      </c>
      <c r="C46" s="51">
        <f aca="true" t="shared" si="56" ref="C46:O46">NPV(C45,C40:L40)</f>
        <v>1102.0304887195325</v>
      </c>
      <c r="D46" s="51">
        <f t="shared" si="56"/>
        <v>1146.5791881347902</v>
      </c>
      <c r="E46" s="51">
        <f t="shared" si="56"/>
        <v>1771.8697575166668</v>
      </c>
      <c r="F46" s="51">
        <f t="shared" si="56"/>
        <v>1976.7671773626648</v>
      </c>
      <c r="G46" s="51">
        <f t="shared" si="56"/>
        <v>1959.9202545949956</v>
      </c>
      <c r="H46" s="51">
        <f t="shared" si="56"/>
        <v>1982.2189293617828</v>
      </c>
      <c r="I46" s="51">
        <f t="shared" si="56"/>
        <v>2178.7430702743163</v>
      </c>
      <c r="J46" s="51">
        <f t="shared" si="56"/>
        <v>2283.201057121366</v>
      </c>
      <c r="K46" s="51">
        <f t="shared" si="56"/>
        <v>2391.736109977434</v>
      </c>
      <c r="L46" s="51">
        <f t="shared" si="56"/>
        <v>2510.0729154763058</v>
      </c>
      <c r="M46" s="51">
        <f t="shared" si="56"/>
        <v>2635.5765612501204</v>
      </c>
      <c r="N46" s="51">
        <f t="shared" si="56"/>
        <v>2767.3553893126264</v>
      </c>
      <c r="O46" s="51">
        <f t="shared" si="56"/>
        <v>2905.7231587782594</v>
      </c>
      <c r="P46" s="27"/>
      <c r="Q46" s="27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2.75" customHeight="1" hidden="1">
      <c r="A47" s="177"/>
      <c r="B47" s="58" t="s">
        <v>41</v>
      </c>
      <c r="C47" s="51">
        <f aca="true" t="shared" si="57" ref="C47:O47">M40/(C45-$N$5)/(1+C45)^10</f>
        <v>577.6173444756752</v>
      </c>
      <c r="D47" s="51">
        <f t="shared" si="57"/>
        <v>606.498211699457</v>
      </c>
      <c r="E47" s="51">
        <f t="shared" si="57"/>
        <v>636.8231222844307</v>
      </c>
      <c r="F47" s="51">
        <f t="shared" si="57"/>
        <v>668.6642783986533</v>
      </c>
      <c r="G47" s="51">
        <f t="shared" si="57"/>
        <v>702.0974923185847</v>
      </c>
      <c r="H47" s="51">
        <f t="shared" si="57"/>
        <v>737.2023669345148</v>
      </c>
      <c r="I47" s="51">
        <f t="shared" si="57"/>
        <v>774.0624852812406</v>
      </c>
      <c r="J47" s="51">
        <f t="shared" si="57"/>
        <v>812.7656095453015</v>
      </c>
      <c r="K47" s="51">
        <f t="shared" si="57"/>
        <v>853.403890022569</v>
      </c>
      <c r="L47" s="51">
        <f t="shared" si="57"/>
        <v>896.0740845236969</v>
      </c>
      <c r="M47" s="51">
        <f t="shared" si="57"/>
        <v>940.8777887498819</v>
      </c>
      <c r="N47" s="51">
        <f t="shared" si="57"/>
        <v>987.9216781873752</v>
      </c>
      <c r="O47" s="51">
        <f t="shared" si="57"/>
        <v>1037.3177620967413</v>
      </c>
      <c r="P47" s="27"/>
      <c r="Q47" s="27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s="3" customFormat="1" ht="13.5" customHeight="1">
      <c r="A48" s="12">
        <v>36</v>
      </c>
      <c r="B48" s="176" t="s">
        <v>42</v>
      </c>
      <c r="C48" s="29">
        <f aca="true" t="shared" si="58" ref="C48:O48">C46+C47</f>
        <v>1679.6478331952076</v>
      </c>
      <c r="D48" s="29">
        <f t="shared" si="58"/>
        <v>1753.0773998342472</v>
      </c>
      <c r="E48" s="29">
        <f t="shared" si="58"/>
        <v>2408.6928798010977</v>
      </c>
      <c r="F48" s="29">
        <f t="shared" si="58"/>
        <v>2645.431455761318</v>
      </c>
      <c r="G48" s="29">
        <f t="shared" si="58"/>
        <v>2662.0177469135806</v>
      </c>
      <c r="H48" s="29">
        <f t="shared" si="58"/>
        <v>2719.4212962962974</v>
      </c>
      <c r="I48" s="29">
        <f t="shared" si="58"/>
        <v>2952.805555555557</v>
      </c>
      <c r="J48" s="29">
        <f t="shared" si="58"/>
        <v>3095.966666666667</v>
      </c>
      <c r="K48" s="29">
        <f t="shared" si="58"/>
        <v>3245.140000000003</v>
      </c>
      <c r="L48" s="29">
        <f t="shared" si="58"/>
        <v>3406.1470000000027</v>
      </c>
      <c r="M48" s="29">
        <f t="shared" si="58"/>
        <v>3576.4543500000023</v>
      </c>
      <c r="N48" s="29">
        <f t="shared" si="58"/>
        <v>3755.2770675000015</v>
      </c>
      <c r="O48" s="29">
        <f t="shared" si="58"/>
        <v>3943.0409208750007</v>
      </c>
      <c r="P48" s="29">
        <f aca="true" t="shared" si="59" ref="P48:AA48">P40/(P45-P41)</f>
        <v>4140.192966918799</v>
      </c>
      <c r="Q48" s="29">
        <f t="shared" si="59"/>
        <v>4347.202615264731</v>
      </c>
      <c r="R48" s="22">
        <f t="shared" si="59"/>
        <v>4564.562746027865</v>
      </c>
      <c r="S48" s="22">
        <f t="shared" si="59"/>
        <v>4792.790883329358</v>
      </c>
      <c r="T48" s="22">
        <f t="shared" si="59"/>
        <v>5032.430427495781</v>
      </c>
      <c r="U48" s="22">
        <f t="shared" si="59"/>
        <v>5284.051948870531</v>
      </c>
      <c r="V48" s="22">
        <f t="shared" si="59"/>
        <v>5548.254546314227</v>
      </c>
      <c r="W48" s="22">
        <f t="shared" si="59"/>
        <v>5825.667273629792</v>
      </c>
      <c r="X48" s="22">
        <f t="shared" si="59"/>
        <v>6116.950637311304</v>
      </c>
      <c r="Y48" s="22">
        <f t="shared" si="59"/>
        <v>6422.798169176814</v>
      </c>
      <c r="Z48" s="22">
        <f t="shared" si="59"/>
        <v>6743.938077635582</v>
      </c>
      <c r="AA48" s="22">
        <f t="shared" si="59"/>
        <v>0</v>
      </c>
    </row>
    <row r="49" spans="1:27" s="71" customFormat="1" ht="15" customHeight="1" hidden="1">
      <c r="A49" s="178"/>
      <c r="B49" s="7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</row>
    <row r="50" spans="1:27" s="71" customFormat="1" ht="12.75" customHeight="1" hidden="1" thickBot="1">
      <c r="A50" s="178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</row>
    <row r="51" spans="1:27" ht="12" customHeight="1" hidden="1" thickBot="1">
      <c r="A51" s="179"/>
      <c r="B51" s="74"/>
      <c r="C51" s="75">
        <v>0</v>
      </c>
      <c r="D51" s="76">
        <v>1</v>
      </c>
      <c r="E51" s="76">
        <f aca="true" t="shared" si="60" ref="E51:T51">D51+1</f>
        <v>2</v>
      </c>
      <c r="F51" s="76">
        <f t="shared" si="60"/>
        <v>3</v>
      </c>
      <c r="G51" s="76">
        <f t="shared" si="60"/>
        <v>4</v>
      </c>
      <c r="H51" s="76">
        <f t="shared" si="60"/>
        <v>5</v>
      </c>
      <c r="I51" s="76">
        <f t="shared" si="60"/>
        <v>6</v>
      </c>
      <c r="J51" s="76">
        <f t="shared" si="60"/>
        <v>7</v>
      </c>
      <c r="K51" s="76">
        <f t="shared" si="60"/>
        <v>8</v>
      </c>
      <c r="L51" s="76">
        <f t="shared" si="60"/>
        <v>9</v>
      </c>
      <c r="M51" s="77">
        <f t="shared" si="60"/>
        <v>10</v>
      </c>
      <c r="N51" s="78">
        <f t="shared" si="60"/>
        <v>11</v>
      </c>
      <c r="O51" s="36">
        <f t="shared" si="60"/>
        <v>12</v>
      </c>
      <c r="P51" s="36">
        <f t="shared" si="60"/>
        <v>13</v>
      </c>
      <c r="Q51" s="36">
        <f t="shared" si="60"/>
        <v>14</v>
      </c>
      <c r="R51" s="79">
        <f t="shared" si="60"/>
        <v>15</v>
      </c>
      <c r="S51" s="79">
        <f t="shared" si="60"/>
        <v>16</v>
      </c>
      <c r="T51" s="79">
        <f t="shared" si="60"/>
        <v>17</v>
      </c>
      <c r="U51" s="79">
        <f aca="true" t="shared" si="61" ref="U51:AA51">T51+1</f>
        <v>18</v>
      </c>
      <c r="V51" s="79">
        <f t="shared" si="61"/>
        <v>19</v>
      </c>
      <c r="W51" s="79">
        <f t="shared" si="61"/>
        <v>20</v>
      </c>
      <c r="X51" s="79">
        <f t="shared" si="61"/>
        <v>21</v>
      </c>
      <c r="Y51" s="13">
        <f t="shared" si="61"/>
        <v>22</v>
      </c>
      <c r="Z51" s="13">
        <f t="shared" si="61"/>
        <v>23</v>
      </c>
      <c r="AA51" s="13">
        <f t="shared" si="61"/>
        <v>24</v>
      </c>
    </row>
    <row r="52" spans="1:27" s="3" customFormat="1" ht="10.5" customHeight="1" hidden="1">
      <c r="A52" s="80">
        <v>35</v>
      </c>
      <c r="B52" s="81" t="s">
        <v>39</v>
      </c>
      <c r="C52" s="82">
        <f aca="true" t="shared" si="62" ref="C52:AA52">C45</f>
        <v>0.2</v>
      </c>
      <c r="D52" s="26">
        <f t="shared" si="62"/>
        <v>0.2</v>
      </c>
      <c r="E52" s="26">
        <f t="shared" si="62"/>
        <v>0.2</v>
      </c>
      <c r="F52" s="26">
        <f t="shared" si="62"/>
        <v>0.2</v>
      </c>
      <c r="G52" s="26">
        <f t="shared" si="62"/>
        <v>0.2</v>
      </c>
      <c r="H52" s="26">
        <f t="shared" si="62"/>
        <v>0.2</v>
      </c>
      <c r="I52" s="26">
        <f t="shared" si="62"/>
        <v>0.2</v>
      </c>
      <c r="J52" s="26">
        <f t="shared" si="62"/>
        <v>0.2</v>
      </c>
      <c r="K52" s="26">
        <f t="shared" si="62"/>
        <v>0.2</v>
      </c>
      <c r="L52" s="26">
        <f t="shared" si="62"/>
        <v>0.2</v>
      </c>
      <c r="M52" s="83">
        <f t="shared" si="62"/>
        <v>0.2</v>
      </c>
      <c r="N52" s="82">
        <f t="shared" si="62"/>
        <v>0.2</v>
      </c>
      <c r="O52" s="26">
        <f t="shared" si="62"/>
        <v>0.2</v>
      </c>
      <c r="P52" s="26">
        <f t="shared" si="62"/>
        <v>0.2</v>
      </c>
      <c r="Q52" s="26">
        <f t="shared" si="62"/>
        <v>0.2</v>
      </c>
      <c r="R52" s="26">
        <f t="shared" si="62"/>
        <v>0.2</v>
      </c>
      <c r="S52" s="26">
        <f t="shared" si="62"/>
        <v>0.2</v>
      </c>
      <c r="T52" s="26">
        <f t="shared" si="62"/>
        <v>0.2</v>
      </c>
      <c r="U52" s="26">
        <f t="shared" si="62"/>
        <v>0.2</v>
      </c>
      <c r="V52" s="26">
        <f t="shared" si="62"/>
        <v>0.2</v>
      </c>
      <c r="W52" s="26">
        <f t="shared" si="62"/>
        <v>0.2</v>
      </c>
      <c r="X52" s="26">
        <f t="shared" si="62"/>
        <v>0.2</v>
      </c>
      <c r="Y52" s="26">
        <f t="shared" si="62"/>
        <v>0.2</v>
      </c>
      <c r="Z52" s="26">
        <f t="shared" si="62"/>
        <v>0.2</v>
      </c>
      <c r="AA52" s="26">
        <f t="shared" si="62"/>
        <v>0.2</v>
      </c>
    </row>
    <row r="53" spans="1:27" s="60" customFormat="1" ht="10.5" customHeight="1" hidden="1">
      <c r="A53" s="88">
        <v>9</v>
      </c>
      <c r="B53" s="89" t="s">
        <v>47</v>
      </c>
      <c r="C53" s="90">
        <f aca="true" t="shared" si="63" ref="C53:AA53">C16</f>
        <v>1800</v>
      </c>
      <c r="D53" s="50">
        <f t="shared" si="63"/>
        <v>1800</v>
      </c>
      <c r="E53" s="50">
        <f t="shared" si="63"/>
        <v>2300</v>
      </c>
      <c r="F53" s="50">
        <f t="shared" si="63"/>
        <v>2300</v>
      </c>
      <c r="G53" s="50">
        <f t="shared" si="63"/>
        <v>2050</v>
      </c>
      <c r="H53" s="50">
        <f t="shared" si="63"/>
        <v>1800</v>
      </c>
      <c r="I53" s="50">
        <f t="shared" si="63"/>
        <v>1700</v>
      </c>
      <c r="J53" s="50">
        <f t="shared" si="63"/>
        <v>1450</v>
      </c>
      <c r="K53" s="50">
        <f t="shared" si="63"/>
        <v>1200</v>
      </c>
      <c r="L53" s="50">
        <f t="shared" si="63"/>
        <v>1000</v>
      </c>
      <c r="M53" s="91">
        <f t="shared" si="63"/>
        <v>1050</v>
      </c>
      <c r="N53" s="90">
        <f t="shared" si="63"/>
        <v>1102.5</v>
      </c>
      <c r="O53" s="50">
        <f t="shared" si="63"/>
        <v>1157.625</v>
      </c>
      <c r="P53" s="50">
        <f t="shared" si="63"/>
        <v>1215.5062500000001</v>
      </c>
      <c r="Q53" s="50">
        <f t="shared" si="63"/>
        <v>1276.2815625000003</v>
      </c>
      <c r="R53" s="60">
        <f t="shared" si="63"/>
        <v>1340.0956406250004</v>
      </c>
      <c r="S53" s="60">
        <f t="shared" si="63"/>
        <v>1407.1004226562504</v>
      </c>
      <c r="T53" s="60">
        <f t="shared" si="63"/>
        <v>1477.455443789063</v>
      </c>
      <c r="U53" s="60">
        <f t="shared" si="63"/>
        <v>1551.3282159785163</v>
      </c>
      <c r="V53" s="60">
        <f t="shared" si="63"/>
        <v>1628.8946267774422</v>
      </c>
      <c r="W53" s="60">
        <f t="shared" si="63"/>
        <v>1710.3393581163143</v>
      </c>
      <c r="X53" s="60">
        <f t="shared" si="63"/>
        <v>1795.8563260221301</v>
      </c>
      <c r="Y53" s="60">
        <f t="shared" si="63"/>
        <v>1885.6491423232367</v>
      </c>
      <c r="Z53" s="60">
        <f t="shared" si="63"/>
        <v>1979.9315994393985</v>
      </c>
      <c r="AA53" s="60">
        <f t="shared" si="63"/>
        <v>2078.9281794113685</v>
      </c>
    </row>
    <row r="54" spans="1:27" ht="10.5" customHeight="1" hidden="1">
      <c r="A54" s="92">
        <v>39</v>
      </c>
      <c r="B54" s="93" t="s">
        <v>48</v>
      </c>
      <c r="C54" s="94">
        <v>0.15</v>
      </c>
      <c r="D54" s="95">
        <f aca="true" t="shared" si="64" ref="D54:AA54">C54</f>
        <v>0.15</v>
      </c>
      <c r="E54" s="95">
        <f t="shared" si="64"/>
        <v>0.15</v>
      </c>
      <c r="F54" s="95">
        <f t="shared" si="64"/>
        <v>0.15</v>
      </c>
      <c r="G54" s="95">
        <f t="shared" si="64"/>
        <v>0.15</v>
      </c>
      <c r="H54" s="95">
        <f t="shared" si="64"/>
        <v>0.15</v>
      </c>
      <c r="I54" s="95">
        <f t="shared" si="64"/>
        <v>0.15</v>
      </c>
      <c r="J54" s="95">
        <f t="shared" si="64"/>
        <v>0.15</v>
      </c>
      <c r="K54" s="95">
        <f t="shared" si="64"/>
        <v>0.15</v>
      </c>
      <c r="L54" s="95">
        <f t="shared" si="64"/>
        <v>0.15</v>
      </c>
      <c r="M54" s="96">
        <f t="shared" si="64"/>
        <v>0.15</v>
      </c>
      <c r="N54" s="97">
        <f t="shared" si="64"/>
        <v>0.15</v>
      </c>
      <c r="O54" s="64">
        <f t="shared" si="64"/>
        <v>0.15</v>
      </c>
      <c r="P54" s="64">
        <f t="shared" si="64"/>
        <v>0.15</v>
      </c>
      <c r="Q54" s="64">
        <f t="shared" si="64"/>
        <v>0.15</v>
      </c>
      <c r="R54" s="4">
        <f t="shared" si="64"/>
        <v>0.15</v>
      </c>
      <c r="S54" s="4">
        <f t="shared" si="64"/>
        <v>0.15</v>
      </c>
      <c r="T54" s="4">
        <f t="shared" si="64"/>
        <v>0.15</v>
      </c>
      <c r="U54" s="4">
        <f t="shared" si="64"/>
        <v>0.15</v>
      </c>
      <c r="V54" s="4">
        <f t="shared" si="64"/>
        <v>0.15</v>
      </c>
      <c r="W54" s="4">
        <f t="shared" si="64"/>
        <v>0.15</v>
      </c>
      <c r="X54" s="4">
        <f t="shared" si="64"/>
        <v>0.15</v>
      </c>
      <c r="Y54" s="4">
        <f t="shared" si="64"/>
        <v>0.15</v>
      </c>
      <c r="Z54" s="4">
        <f t="shared" si="64"/>
        <v>0.15</v>
      </c>
      <c r="AA54" s="4">
        <f t="shared" si="64"/>
        <v>0.15</v>
      </c>
    </row>
    <row r="55" spans="1:27" ht="10.5" customHeight="1" hidden="1">
      <c r="A55" s="92">
        <v>50</v>
      </c>
      <c r="B55" s="93" t="s">
        <v>49</v>
      </c>
      <c r="C55" s="98">
        <f aca="true" t="shared" si="65" ref="C55:AA55">(C54-C43)/C44</f>
        <v>0.375</v>
      </c>
      <c r="D55" s="99">
        <f t="shared" si="65"/>
        <v>0.375</v>
      </c>
      <c r="E55" s="99">
        <f t="shared" si="65"/>
        <v>0.375</v>
      </c>
      <c r="F55" s="99">
        <f t="shared" si="65"/>
        <v>0.375</v>
      </c>
      <c r="G55" s="99">
        <f t="shared" si="65"/>
        <v>0.375</v>
      </c>
      <c r="H55" s="99">
        <f t="shared" si="65"/>
        <v>0.375</v>
      </c>
      <c r="I55" s="99">
        <f t="shared" si="65"/>
        <v>0.375</v>
      </c>
      <c r="J55" s="99">
        <f t="shared" si="65"/>
        <v>0.375</v>
      </c>
      <c r="K55" s="99">
        <f t="shared" si="65"/>
        <v>0.375</v>
      </c>
      <c r="L55" s="99">
        <f t="shared" si="65"/>
        <v>0.375</v>
      </c>
      <c r="M55" s="100">
        <f t="shared" si="65"/>
        <v>0.375</v>
      </c>
      <c r="N55" s="98">
        <f t="shared" si="65"/>
        <v>0.375</v>
      </c>
      <c r="O55" s="99">
        <f t="shared" si="65"/>
        <v>0.375</v>
      </c>
      <c r="P55" s="67">
        <f t="shared" si="65"/>
        <v>0.375</v>
      </c>
      <c r="Q55" s="67">
        <f t="shared" si="65"/>
        <v>0.375</v>
      </c>
      <c r="R55" s="68">
        <f t="shared" si="65"/>
        <v>0.375</v>
      </c>
      <c r="S55" s="68">
        <f t="shared" si="65"/>
        <v>0.375</v>
      </c>
      <c r="T55" s="68">
        <f t="shared" si="65"/>
        <v>0.375</v>
      </c>
      <c r="U55" s="68">
        <f t="shared" si="65"/>
        <v>0.375</v>
      </c>
      <c r="V55" s="68">
        <f t="shared" si="65"/>
        <v>0.375</v>
      </c>
      <c r="W55" s="68">
        <f t="shared" si="65"/>
        <v>0.375</v>
      </c>
      <c r="X55" s="68">
        <f t="shared" si="65"/>
        <v>0.375</v>
      </c>
      <c r="Y55" s="68">
        <f t="shared" si="65"/>
        <v>0.375</v>
      </c>
      <c r="Z55" s="68">
        <f t="shared" si="65"/>
        <v>0.375</v>
      </c>
      <c r="AA55" s="68">
        <f t="shared" si="65"/>
        <v>0.375</v>
      </c>
    </row>
    <row r="56" spans="1:27" ht="10.5" customHeight="1" hidden="1">
      <c r="A56" s="92"/>
      <c r="B56" s="93"/>
      <c r="C56" s="98"/>
      <c r="D56" s="67"/>
      <c r="E56" s="101"/>
      <c r="F56" s="99"/>
      <c r="G56" s="99"/>
      <c r="H56" s="99"/>
      <c r="I56" s="99"/>
      <c r="J56" s="99"/>
      <c r="K56" s="99"/>
      <c r="L56" s="99"/>
      <c r="M56" s="100"/>
      <c r="N56" s="98"/>
      <c r="O56" s="99"/>
      <c r="P56" s="67"/>
      <c r="Q56" s="67"/>
      <c r="R56" s="68"/>
      <c r="S56" s="68"/>
      <c r="T56" s="68"/>
      <c r="U56" s="68"/>
      <c r="V56" s="68"/>
      <c r="W56" s="68"/>
      <c r="X56" s="68"/>
      <c r="Y56" s="68"/>
      <c r="Z56" s="68"/>
      <c r="AA56" s="68"/>
    </row>
    <row r="57" spans="1:27" ht="10.5" customHeight="1" hidden="1">
      <c r="A57" s="92"/>
      <c r="B57" s="102" t="s">
        <v>50</v>
      </c>
      <c r="C57" s="103"/>
      <c r="D57" s="59">
        <f aca="true" t="shared" si="66" ref="D57:AA57">D105</f>
        <v>270</v>
      </c>
      <c r="E57" s="59">
        <f t="shared" si="66"/>
        <v>-230</v>
      </c>
      <c r="F57" s="59">
        <f t="shared" si="66"/>
        <v>345</v>
      </c>
      <c r="G57" s="59">
        <f t="shared" si="66"/>
        <v>595</v>
      </c>
      <c r="H57" s="59">
        <f t="shared" si="66"/>
        <v>557.5</v>
      </c>
      <c r="I57" s="59">
        <f t="shared" si="66"/>
        <v>370</v>
      </c>
      <c r="J57" s="59">
        <f t="shared" si="66"/>
        <v>505</v>
      </c>
      <c r="K57" s="59">
        <f t="shared" si="66"/>
        <v>467.5</v>
      </c>
      <c r="L57" s="59">
        <f t="shared" si="66"/>
        <v>380</v>
      </c>
      <c r="M57" s="104">
        <f t="shared" si="66"/>
        <v>100</v>
      </c>
      <c r="N57" s="103">
        <f t="shared" si="66"/>
        <v>105</v>
      </c>
      <c r="O57" s="59">
        <f t="shared" si="66"/>
        <v>110.25</v>
      </c>
      <c r="P57" s="59">
        <f t="shared" si="66"/>
        <v>115.76249999999985</v>
      </c>
      <c r="Q57" s="59">
        <f t="shared" si="66"/>
        <v>121.55062499999985</v>
      </c>
      <c r="R57" s="35">
        <f t="shared" si="66"/>
        <v>127.62815624999988</v>
      </c>
      <c r="S57" s="35">
        <f t="shared" si="66"/>
        <v>134.00956406250006</v>
      </c>
      <c r="T57" s="35">
        <f t="shared" si="66"/>
        <v>140.71004226562488</v>
      </c>
      <c r="U57" s="35">
        <f t="shared" si="66"/>
        <v>147.74554437890632</v>
      </c>
      <c r="V57" s="35">
        <f t="shared" si="66"/>
        <v>155.13282159785146</v>
      </c>
      <c r="W57" s="35">
        <f t="shared" si="66"/>
        <v>162.88946267774423</v>
      </c>
      <c r="X57" s="35">
        <f t="shared" si="66"/>
        <v>171.0339358116313</v>
      </c>
      <c r="Y57" s="35">
        <f t="shared" si="66"/>
        <v>179.58563260221297</v>
      </c>
      <c r="Z57" s="35">
        <f t="shared" si="66"/>
        <v>188.56491423232364</v>
      </c>
      <c r="AA57" s="35">
        <f t="shared" si="66"/>
        <v>197.9931599439397</v>
      </c>
    </row>
    <row r="58" spans="1:27" ht="10.5" customHeight="1" hidden="1">
      <c r="A58" s="92"/>
      <c r="B58" s="105" t="s">
        <v>51</v>
      </c>
      <c r="C58" s="106">
        <v>1</v>
      </c>
      <c r="D58" s="67">
        <f>1/(1+C64)</f>
        <v>0.8695652173913044</v>
      </c>
      <c r="E58" s="101">
        <f aca="true" t="shared" si="67" ref="E58:AA58">D58/(1+D64)</f>
        <v>0.7561436672967865</v>
      </c>
      <c r="F58" s="101">
        <f t="shared" si="67"/>
        <v>0.6575162324319883</v>
      </c>
      <c r="G58" s="101">
        <f t="shared" si="67"/>
        <v>0.5717532455930333</v>
      </c>
      <c r="H58" s="101">
        <f t="shared" si="67"/>
        <v>0.4971767352982899</v>
      </c>
      <c r="I58" s="101">
        <f t="shared" si="67"/>
        <v>0.43232759591155645</v>
      </c>
      <c r="J58" s="101">
        <f t="shared" si="67"/>
        <v>0.3759370399230926</v>
      </c>
      <c r="K58" s="101">
        <f t="shared" si="67"/>
        <v>0.3269017738461675</v>
      </c>
      <c r="L58" s="101">
        <f t="shared" si="67"/>
        <v>0.28426241204014563</v>
      </c>
      <c r="M58" s="107">
        <f t="shared" si="67"/>
        <v>0.24718470612186577</v>
      </c>
      <c r="N58" s="108">
        <f t="shared" si="67"/>
        <v>0.2149432227146659</v>
      </c>
      <c r="O58" s="101">
        <f t="shared" si="67"/>
        <v>0.186907150186666</v>
      </c>
      <c r="P58" s="101">
        <f t="shared" si="67"/>
        <v>0.16252795668405742</v>
      </c>
      <c r="Q58" s="101">
        <f t="shared" si="67"/>
        <v>0.1413286579861369</v>
      </c>
      <c r="R58" s="109">
        <f t="shared" si="67"/>
        <v>0.12289448520533644</v>
      </c>
      <c r="S58" s="109">
        <f t="shared" si="67"/>
        <v>0.10686476974377082</v>
      </c>
      <c r="T58" s="109">
        <f t="shared" si="67"/>
        <v>0.09292588673371377</v>
      </c>
      <c r="U58" s="109">
        <f t="shared" si="67"/>
        <v>0.08080511889888155</v>
      </c>
      <c r="V58" s="109">
        <f t="shared" si="67"/>
        <v>0.07026532078163614</v>
      </c>
      <c r="W58" s="109">
        <f t="shared" si="67"/>
        <v>0.061100278940553164</v>
      </c>
      <c r="X58" s="109">
        <f t="shared" si="67"/>
        <v>0.05313067733961145</v>
      </c>
      <c r="Y58" s="109">
        <f t="shared" si="67"/>
        <v>0.04620058899096648</v>
      </c>
      <c r="Z58" s="109">
        <f t="shared" si="67"/>
        <v>0.040174425209536076</v>
      </c>
      <c r="AA58" s="109">
        <f t="shared" si="67"/>
        <v>0.03493428279090094</v>
      </c>
    </row>
    <row r="59" spans="1:27" ht="10.5" customHeight="1" hidden="1">
      <c r="A59" s="92"/>
      <c r="B59" s="105" t="s">
        <v>52</v>
      </c>
      <c r="C59" s="110"/>
      <c r="D59" s="51">
        <f aca="true" t="shared" si="68" ref="D59:M59">D57*D58</f>
        <v>234.7826086956522</v>
      </c>
      <c r="E59" s="51">
        <f t="shared" si="68"/>
        <v>-173.9130434782609</v>
      </c>
      <c r="F59" s="51">
        <f t="shared" si="68"/>
        <v>226.84310018903597</v>
      </c>
      <c r="G59" s="51">
        <f t="shared" si="68"/>
        <v>340.1931811278548</v>
      </c>
      <c r="H59" s="51">
        <f t="shared" si="68"/>
        <v>277.1760299287966</v>
      </c>
      <c r="I59" s="51">
        <f t="shared" si="68"/>
        <v>159.96121048727588</v>
      </c>
      <c r="J59" s="51">
        <f t="shared" si="68"/>
        <v>189.84820516116176</v>
      </c>
      <c r="K59" s="51">
        <f t="shared" si="68"/>
        <v>152.8265792730833</v>
      </c>
      <c r="L59" s="51">
        <f t="shared" si="68"/>
        <v>108.01971657525534</v>
      </c>
      <c r="M59" s="111">
        <f t="shared" si="68"/>
        <v>24.71847061218658</v>
      </c>
      <c r="N59" s="110">
        <f aca="true" t="shared" si="69" ref="N59:AA59">N57*N58</f>
        <v>22.56903838503992</v>
      </c>
      <c r="O59" s="51">
        <f t="shared" si="69"/>
        <v>20.60651330807993</v>
      </c>
      <c r="P59" s="51">
        <f t="shared" si="69"/>
        <v>18.814642585638172</v>
      </c>
      <c r="Q59" s="51">
        <f t="shared" si="69"/>
        <v>17.17858670862616</v>
      </c>
      <c r="R59" s="43">
        <f t="shared" si="69"/>
        <v>15.684796560049977</v>
      </c>
      <c r="S59" s="43">
        <f t="shared" si="69"/>
        <v>14.320901207002175</v>
      </c>
      <c r="T59" s="43">
        <f t="shared" si="69"/>
        <v>13.075605449871535</v>
      </c>
      <c r="U59" s="43">
        <f t="shared" si="69"/>
        <v>11.938596280317505</v>
      </c>
      <c r="V59" s="43">
        <f t="shared" si="69"/>
        <v>10.900457473333363</v>
      </c>
      <c r="W59" s="43">
        <f t="shared" si="69"/>
        <v>9.952591606086997</v>
      </c>
      <c r="X59" s="43">
        <f t="shared" si="69"/>
        <v>9.087148857731599</v>
      </c>
      <c r="Y59" s="43">
        <f t="shared" si="69"/>
        <v>8.296962000537553</v>
      </c>
      <c r="Z59" s="43">
        <f t="shared" si="69"/>
        <v>7.575487043969071</v>
      </c>
      <c r="AA59" s="43">
        <f t="shared" si="69"/>
        <v>6.91674904014567</v>
      </c>
    </row>
    <row r="60" spans="1:27" ht="10.5" customHeight="1" hidden="1">
      <c r="A60" s="92"/>
      <c r="B60" s="105" t="s">
        <v>53</v>
      </c>
      <c r="C60" s="110">
        <f>SUM(D59:M59)</f>
        <v>1540.4560585720417</v>
      </c>
      <c r="D60" s="51">
        <f aca="true" t="shared" si="70" ref="D60:M60">SUM(E59:N59)/D58</f>
        <v>1527.4788615006437</v>
      </c>
      <c r="E60" s="51">
        <f t="shared" si="70"/>
        <v>2013.852804575676</v>
      </c>
      <c r="F60" s="51">
        <f t="shared" si="70"/>
        <v>1999.5454448044595</v>
      </c>
      <c r="G60" s="51">
        <f t="shared" si="70"/>
        <v>1734.5227170446822</v>
      </c>
      <c r="H60" s="51">
        <f t="shared" si="70"/>
        <v>1468.748852896916</v>
      </c>
      <c r="I60" s="51">
        <f t="shared" si="70"/>
        <v>1352.186295541762</v>
      </c>
      <c r="J60" s="51">
        <f t="shared" si="70"/>
        <v>1084.7956103188499</v>
      </c>
      <c r="K60" s="51">
        <f t="shared" si="70"/>
        <v>816.5353908347927</v>
      </c>
      <c r="L60" s="51">
        <f t="shared" si="70"/>
        <v>597.3621603765322</v>
      </c>
      <c r="M60" s="111">
        <f t="shared" si="70"/>
        <v>627.2302683953587</v>
      </c>
      <c r="N60" s="110">
        <f aca="true" t="shared" si="71" ref="N60:AA60">SUM(O59:X59)/N58</f>
        <v>658.5917818151266</v>
      </c>
      <c r="O60" s="51">
        <f t="shared" si="71"/>
        <v>691.5213709058829</v>
      </c>
      <c r="P60" s="51">
        <f t="shared" si="71"/>
        <v>726.0974394511771</v>
      </c>
      <c r="Q60" s="51">
        <f t="shared" si="71"/>
        <v>762.4023114237364</v>
      </c>
      <c r="R60" s="43">
        <f t="shared" si="71"/>
        <v>749.1345018872968</v>
      </c>
      <c r="S60" s="43">
        <f t="shared" si="71"/>
        <v>727.4951131078913</v>
      </c>
      <c r="T60" s="43">
        <f t="shared" si="71"/>
        <v>695.9093378084498</v>
      </c>
      <c r="U60" s="43">
        <f t="shared" si="71"/>
        <v>652.5501941008108</v>
      </c>
      <c r="V60" s="43">
        <f t="shared" si="71"/>
        <v>595.2999016180809</v>
      </c>
      <c r="W60" s="43">
        <f t="shared" si="71"/>
        <v>521.7054241830489</v>
      </c>
      <c r="X60" s="43">
        <f t="shared" si="71"/>
        <v>428.9273019988748</v>
      </c>
      <c r="Y60" s="43">
        <f t="shared" si="71"/>
        <v>313.68076469649293</v>
      </c>
      <c r="Z60" s="43">
        <f t="shared" si="71"/>
        <v>172.16796516864324</v>
      </c>
      <c r="AA60" s="43">
        <f t="shared" si="71"/>
        <v>0</v>
      </c>
    </row>
    <row r="61" spans="1:27" ht="10.5" customHeight="1" hidden="1">
      <c r="A61" s="92"/>
      <c r="B61" s="105" t="s">
        <v>41</v>
      </c>
      <c r="C61" s="110">
        <f>N57/(N64-$N$5)*M58</f>
        <v>259.54394142795906</v>
      </c>
      <c r="D61" s="51">
        <f aca="true" t="shared" si="72" ref="D61:AA61">O57/(O64-$N$5)*N58/D58</f>
        <v>272.521138499357</v>
      </c>
      <c r="E61" s="51">
        <f t="shared" si="72"/>
        <v>286.14719542432454</v>
      </c>
      <c r="F61" s="51">
        <f t="shared" si="72"/>
        <v>300.45455519554076</v>
      </c>
      <c r="G61" s="51">
        <f t="shared" si="72"/>
        <v>315.4772829553179</v>
      </c>
      <c r="H61" s="51">
        <f t="shared" si="72"/>
        <v>331.2511471030843</v>
      </c>
      <c r="I61" s="51">
        <f t="shared" si="72"/>
        <v>347.81370445823796</v>
      </c>
      <c r="J61" s="51">
        <f t="shared" si="72"/>
        <v>365.2043896811505</v>
      </c>
      <c r="K61" s="51">
        <f t="shared" si="72"/>
        <v>383.46460916520755</v>
      </c>
      <c r="L61" s="51">
        <f t="shared" si="72"/>
        <v>402.6378396234685</v>
      </c>
      <c r="M61" s="111">
        <f t="shared" si="72"/>
        <v>422.76973160464155</v>
      </c>
      <c r="N61" s="110">
        <f t="shared" si="72"/>
        <v>443.9082181848739</v>
      </c>
      <c r="O61" s="51">
        <f t="shared" si="72"/>
        <v>466.10362909411765</v>
      </c>
      <c r="P61" s="51">
        <f t="shared" si="72"/>
        <v>489.40881054882317</v>
      </c>
      <c r="Q61" s="51">
        <f t="shared" si="72"/>
        <v>0</v>
      </c>
      <c r="R61" s="43">
        <f t="shared" si="72"/>
        <v>0</v>
      </c>
      <c r="S61" s="43">
        <f t="shared" si="72"/>
        <v>0</v>
      </c>
      <c r="T61" s="43">
        <f t="shared" si="72"/>
        <v>0</v>
      </c>
      <c r="U61" s="43">
        <f t="shared" si="72"/>
        <v>0</v>
      </c>
      <c r="V61" s="43">
        <f t="shared" si="72"/>
        <v>0</v>
      </c>
      <c r="W61" s="43">
        <f t="shared" si="72"/>
        <v>0</v>
      </c>
      <c r="X61" s="43">
        <f t="shared" si="72"/>
        <v>0</v>
      </c>
      <c r="Y61" s="43">
        <f t="shared" si="72"/>
        <v>0</v>
      </c>
      <c r="Z61" s="43">
        <f t="shared" si="72"/>
        <v>0</v>
      </c>
      <c r="AA61" s="43">
        <f t="shared" si="72"/>
        <v>0</v>
      </c>
    </row>
    <row r="62" spans="1:27" s="112" customFormat="1" ht="10.5" customHeight="1" hidden="1" thickBot="1">
      <c r="A62" s="113" t="s">
        <v>54</v>
      </c>
      <c r="B62" s="114" t="s">
        <v>55</v>
      </c>
      <c r="C62" s="115">
        <f aca="true" t="shared" si="73" ref="C62:P62">C60+C61</f>
        <v>1800.0000000000007</v>
      </c>
      <c r="D62" s="116">
        <f t="shared" si="73"/>
        <v>1800.0000000000007</v>
      </c>
      <c r="E62" s="116">
        <f t="shared" si="73"/>
        <v>2300.0000000000005</v>
      </c>
      <c r="F62" s="116">
        <f t="shared" si="73"/>
        <v>2300.0000000000005</v>
      </c>
      <c r="G62" s="116">
        <f t="shared" si="73"/>
        <v>2050</v>
      </c>
      <c r="H62" s="116">
        <f t="shared" si="73"/>
        <v>1800.0000000000005</v>
      </c>
      <c r="I62" s="116">
        <f t="shared" si="73"/>
        <v>1700</v>
      </c>
      <c r="J62" s="116">
        <f t="shared" si="73"/>
        <v>1450.0000000000005</v>
      </c>
      <c r="K62" s="116">
        <f t="shared" si="73"/>
        <v>1200.0000000000002</v>
      </c>
      <c r="L62" s="116">
        <f t="shared" si="73"/>
        <v>1000.0000000000007</v>
      </c>
      <c r="M62" s="117">
        <f t="shared" si="73"/>
        <v>1050.0000000000002</v>
      </c>
      <c r="N62" s="115">
        <f t="shared" si="73"/>
        <v>1102.5000000000005</v>
      </c>
      <c r="O62" s="116">
        <f t="shared" si="73"/>
        <v>1157.6250000000005</v>
      </c>
      <c r="P62" s="118">
        <f t="shared" si="73"/>
        <v>1215.5062500000004</v>
      </c>
      <c r="Q62" s="118">
        <f aca="true" t="shared" si="74" ref="Q62:AA62">P62*(1+$N$5)</f>
        <v>1276.2815625000005</v>
      </c>
      <c r="R62" s="112">
        <f t="shared" si="74"/>
        <v>1340.0956406250007</v>
      </c>
      <c r="S62" s="112">
        <f t="shared" si="74"/>
        <v>1407.1004226562507</v>
      </c>
      <c r="T62" s="112">
        <f t="shared" si="74"/>
        <v>1477.4554437890633</v>
      </c>
      <c r="U62" s="112">
        <f t="shared" si="74"/>
        <v>1551.3282159785165</v>
      </c>
      <c r="V62" s="112">
        <f t="shared" si="74"/>
        <v>1628.8946267774425</v>
      </c>
      <c r="W62" s="112">
        <f t="shared" si="74"/>
        <v>1710.3393581163145</v>
      </c>
      <c r="X62" s="112">
        <f t="shared" si="74"/>
        <v>1795.8563260221304</v>
      </c>
      <c r="Y62" s="112">
        <f t="shared" si="74"/>
        <v>1885.649142323237</v>
      </c>
      <c r="Z62" s="112">
        <f t="shared" si="74"/>
        <v>1979.9315994393987</v>
      </c>
      <c r="AA62" s="112">
        <f t="shared" si="74"/>
        <v>2078.9281794113685</v>
      </c>
    </row>
    <row r="63" spans="1:27" ht="10.5" customHeight="1" hidden="1">
      <c r="A63" s="92"/>
      <c r="B63" s="93"/>
      <c r="C63" s="98"/>
      <c r="D63" s="119"/>
      <c r="E63" s="119"/>
      <c r="F63" s="119"/>
      <c r="G63" s="119"/>
      <c r="H63" s="119"/>
      <c r="I63" s="119"/>
      <c r="J63" s="119"/>
      <c r="K63" s="119"/>
      <c r="L63" s="119"/>
      <c r="M63" s="120"/>
      <c r="N63" s="121"/>
      <c r="O63" s="119"/>
      <c r="P63" s="119"/>
      <c r="Q63" s="119"/>
      <c r="R63" s="122"/>
      <c r="S63" s="122"/>
      <c r="T63" s="122"/>
      <c r="U63" s="122"/>
      <c r="V63" s="123"/>
      <c r="W63" s="123"/>
      <c r="X63" s="123"/>
      <c r="Y63" s="123"/>
      <c r="Z63" s="123"/>
      <c r="AA63" s="123"/>
    </row>
    <row r="64" spans="1:27" ht="10.5" customHeight="1">
      <c r="A64" s="92">
        <v>39</v>
      </c>
      <c r="B64" s="93" t="s">
        <v>56</v>
      </c>
      <c r="C64" s="124">
        <f>C54</f>
        <v>0.15</v>
      </c>
      <c r="D64" s="124">
        <f aca="true" t="shared" si="75" ref="D64:AA64">D54</f>
        <v>0.15</v>
      </c>
      <c r="E64" s="124">
        <f t="shared" si="75"/>
        <v>0.15</v>
      </c>
      <c r="F64" s="124">
        <f t="shared" si="75"/>
        <v>0.15</v>
      </c>
      <c r="G64" s="124">
        <f t="shared" si="75"/>
        <v>0.15</v>
      </c>
      <c r="H64" s="124">
        <f t="shared" si="75"/>
        <v>0.15</v>
      </c>
      <c r="I64" s="124">
        <f t="shared" si="75"/>
        <v>0.15</v>
      </c>
      <c r="J64" s="124">
        <f t="shared" si="75"/>
        <v>0.15</v>
      </c>
      <c r="K64" s="124">
        <f t="shared" si="75"/>
        <v>0.15</v>
      </c>
      <c r="L64" s="124">
        <f t="shared" si="75"/>
        <v>0.15</v>
      </c>
      <c r="M64" s="124">
        <f t="shared" si="75"/>
        <v>0.15</v>
      </c>
      <c r="N64" s="124">
        <f t="shared" si="75"/>
        <v>0.15</v>
      </c>
      <c r="O64" s="124">
        <f t="shared" si="75"/>
        <v>0.15</v>
      </c>
      <c r="P64" s="124">
        <f t="shared" si="75"/>
        <v>0.15</v>
      </c>
      <c r="Q64" s="124">
        <f t="shared" si="75"/>
        <v>0.15</v>
      </c>
      <c r="R64" s="124">
        <f t="shared" si="75"/>
        <v>0.15</v>
      </c>
      <c r="S64" s="124">
        <f t="shared" si="75"/>
        <v>0.15</v>
      </c>
      <c r="T64" s="124">
        <f t="shared" si="75"/>
        <v>0.15</v>
      </c>
      <c r="U64" s="124">
        <f t="shared" si="75"/>
        <v>0.15</v>
      </c>
      <c r="V64" s="124">
        <f t="shared" si="75"/>
        <v>0.15</v>
      </c>
      <c r="W64" s="124">
        <f t="shared" si="75"/>
        <v>0.15</v>
      </c>
      <c r="X64" s="124">
        <f t="shared" si="75"/>
        <v>0.15</v>
      </c>
      <c r="Y64" s="124">
        <f t="shared" si="75"/>
        <v>0.15</v>
      </c>
      <c r="Z64" s="124">
        <f t="shared" si="75"/>
        <v>0.15</v>
      </c>
      <c r="AA64" s="124">
        <f t="shared" si="75"/>
        <v>0.15</v>
      </c>
    </row>
    <row r="65" spans="1:27" ht="10.5" customHeight="1">
      <c r="A65" s="92">
        <v>40</v>
      </c>
      <c r="B65" s="102" t="s">
        <v>58</v>
      </c>
      <c r="C65" s="98">
        <f aca="true" t="shared" si="76" ref="C65:AA65">(C64-C43)/C44</f>
        <v>0.375</v>
      </c>
      <c r="D65" s="99">
        <f t="shared" si="76"/>
        <v>0.375</v>
      </c>
      <c r="E65" s="99">
        <f t="shared" si="76"/>
        <v>0.375</v>
      </c>
      <c r="F65" s="99">
        <f t="shared" si="76"/>
        <v>0.375</v>
      </c>
      <c r="G65" s="99">
        <f t="shared" si="76"/>
        <v>0.375</v>
      </c>
      <c r="H65" s="99">
        <f t="shared" si="76"/>
        <v>0.375</v>
      </c>
      <c r="I65" s="99">
        <f t="shared" si="76"/>
        <v>0.375</v>
      </c>
      <c r="J65" s="99">
        <f t="shared" si="76"/>
        <v>0.375</v>
      </c>
      <c r="K65" s="99">
        <f t="shared" si="76"/>
        <v>0.375</v>
      </c>
      <c r="L65" s="99">
        <f t="shared" si="76"/>
        <v>0.375</v>
      </c>
      <c r="M65" s="100">
        <f t="shared" si="76"/>
        <v>0.375</v>
      </c>
      <c r="N65" s="98">
        <f t="shared" si="76"/>
        <v>0.375</v>
      </c>
      <c r="O65" s="99">
        <f t="shared" si="76"/>
        <v>0.375</v>
      </c>
      <c r="P65" s="99">
        <f t="shared" si="76"/>
        <v>0.375</v>
      </c>
      <c r="Q65" s="99">
        <f t="shared" si="76"/>
        <v>0.375</v>
      </c>
      <c r="R65" s="123">
        <f t="shared" si="76"/>
        <v>0.375</v>
      </c>
      <c r="S65" s="123">
        <f t="shared" si="76"/>
        <v>0.375</v>
      </c>
      <c r="T65" s="123">
        <f t="shared" si="76"/>
        <v>0.375</v>
      </c>
      <c r="U65" s="123">
        <f t="shared" si="76"/>
        <v>0.375</v>
      </c>
      <c r="V65" s="123">
        <f t="shared" si="76"/>
        <v>0.375</v>
      </c>
      <c r="W65" s="123">
        <f t="shared" si="76"/>
        <v>0.375</v>
      </c>
      <c r="X65" s="123">
        <f t="shared" si="76"/>
        <v>0.375</v>
      </c>
      <c r="Y65" s="123">
        <f t="shared" si="76"/>
        <v>0.375</v>
      </c>
      <c r="Z65" s="123">
        <f t="shared" si="76"/>
        <v>0.375</v>
      </c>
      <c r="AA65" s="123">
        <f t="shared" si="76"/>
        <v>0.375</v>
      </c>
    </row>
    <row r="66" spans="1:27" s="127" customFormat="1" ht="10.5" customHeight="1" hidden="1">
      <c r="A66" s="128" t="s">
        <v>59</v>
      </c>
      <c r="B66" s="129" t="s">
        <v>60</v>
      </c>
      <c r="C66" s="130"/>
      <c r="D66" s="131">
        <f aca="true" t="shared" si="77" ref="D66:AA66">C62*C45*$G$4+(C53*C54-C62*C64)*$G$4</f>
        <v>126.00000000000001</v>
      </c>
      <c r="E66" s="131">
        <f t="shared" si="77"/>
        <v>126.00000000000001</v>
      </c>
      <c r="F66" s="131">
        <f t="shared" si="77"/>
        <v>161</v>
      </c>
      <c r="G66" s="131">
        <f t="shared" si="77"/>
        <v>161</v>
      </c>
      <c r="H66" s="131">
        <f t="shared" si="77"/>
        <v>143.5</v>
      </c>
      <c r="I66" s="131">
        <f t="shared" si="77"/>
        <v>126.00000000000001</v>
      </c>
      <c r="J66" s="131">
        <f t="shared" si="77"/>
        <v>118.99999999999999</v>
      </c>
      <c r="K66" s="131">
        <f t="shared" si="77"/>
        <v>101.50000000000001</v>
      </c>
      <c r="L66" s="131">
        <f t="shared" si="77"/>
        <v>84</v>
      </c>
      <c r="M66" s="132">
        <f t="shared" si="77"/>
        <v>70.00000000000001</v>
      </c>
      <c r="N66" s="130">
        <f t="shared" si="77"/>
        <v>73.5</v>
      </c>
      <c r="O66" s="131">
        <f t="shared" si="77"/>
        <v>77.17500000000003</v>
      </c>
      <c r="P66" s="131">
        <f t="shared" si="77"/>
        <v>81.03375</v>
      </c>
      <c r="Q66" s="131">
        <f t="shared" si="77"/>
        <v>85.08543750000001</v>
      </c>
      <c r="R66" s="133">
        <f t="shared" si="77"/>
        <v>89.33970937500003</v>
      </c>
      <c r="S66" s="133">
        <f t="shared" si="77"/>
        <v>93.80669484375002</v>
      </c>
      <c r="T66" s="133">
        <f t="shared" si="77"/>
        <v>98.49702958593754</v>
      </c>
      <c r="U66" s="133">
        <f t="shared" si="77"/>
        <v>103.42188106523442</v>
      </c>
      <c r="V66" s="133">
        <f t="shared" si="77"/>
        <v>108.59297511849614</v>
      </c>
      <c r="W66" s="133">
        <f t="shared" si="77"/>
        <v>114.02262387442096</v>
      </c>
      <c r="X66" s="133">
        <f t="shared" si="77"/>
        <v>119.723755068142</v>
      </c>
      <c r="Y66" s="133">
        <f t="shared" si="77"/>
        <v>125.70994282154912</v>
      </c>
      <c r="Z66" s="133">
        <f t="shared" si="77"/>
        <v>131.99543996262656</v>
      </c>
      <c r="AA66" s="133">
        <f t="shared" si="77"/>
        <v>138.59521196075787</v>
      </c>
    </row>
    <row r="67" spans="1:27" ht="10.5" customHeight="1" hidden="1">
      <c r="A67" s="92"/>
      <c r="B67" s="105" t="s">
        <v>53</v>
      </c>
      <c r="C67" s="110">
        <f aca="true" t="shared" si="78" ref="C67:AA67">NPV(C45,D66:M66)</f>
        <v>547.5821454295376</v>
      </c>
      <c r="D67" s="51">
        <f t="shared" si="78"/>
        <v>542.9692348578485</v>
      </c>
      <c r="E67" s="51">
        <f t="shared" si="78"/>
        <v>538.0272751889421</v>
      </c>
      <c r="F67" s="51">
        <f t="shared" si="78"/>
        <v>497.72013325423046</v>
      </c>
      <c r="G67" s="51">
        <f t="shared" si="78"/>
        <v>450.0059330839516</v>
      </c>
      <c r="H67" s="51">
        <f t="shared" si="78"/>
        <v>410.9359815385607</v>
      </c>
      <c r="I67" s="51">
        <f t="shared" si="78"/>
        <v>382.27348277598253</v>
      </c>
      <c r="J67" s="51">
        <f t="shared" si="78"/>
        <v>355.63599950737427</v>
      </c>
      <c r="K67" s="51">
        <f t="shared" si="78"/>
        <v>341.9664105938541</v>
      </c>
      <c r="L67" s="51">
        <f t="shared" si="78"/>
        <v>343.89806445688015</v>
      </c>
      <c r="M67" s="111">
        <f t="shared" si="78"/>
        <v>361.09296767972415</v>
      </c>
      <c r="N67" s="110">
        <f t="shared" si="78"/>
        <v>379.1476160637104</v>
      </c>
      <c r="O67" s="51">
        <f t="shared" si="78"/>
        <v>398.104996866896</v>
      </c>
      <c r="P67" s="51">
        <f t="shared" si="78"/>
        <v>418.0102467102408</v>
      </c>
      <c r="Q67" s="51">
        <f t="shared" si="78"/>
        <v>438.91075904575285</v>
      </c>
      <c r="R67" s="43">
        <f t="shared" si="78"/>
        <v>437.35320147990336</v>
      </c>
      <c r="S67" s="43">
        <f t="shared" si="78"/>
        <v>431.0171469321341</v>
      </c>
      <c r="T67" s="43">
        <f t="shared" si="78"/>
        <v>418.7235467326233</v>
      </c>
      <c r="U67" s="43">
        <f t="shared" si="78"/>
        <v>399.0463750139136</v>
      </c>
      <c r="V67" s="43">
        <f t="shared" si="78"/>
        <v>370.2626748982001</v>
      </c>
      <c r="W67" s="43">
        <f t="shared" si="78"/>
        <v>330.2925860034191</v>
      </c>
      <c r="X67" s="43">
        <f t="shared" si="78"/>
        <v>276.627348135961</v>
      </c>
      <c r="Y67" s="43">
        <f t="shared" si="78"/>
        <v>206.242874941604</v>
      </c>
      <c r="Z67" s="43">
        <f t="shared" si="78"/>
        <v>115.49600996729822</v>
      </c>
      <c r="AA67" s="43">
        <f t="shared" si="78"/>
        <v>0</v>
      </c>
    </row>
    <row r="68" spans="1:27" ht="10.5" customHeight="1" hidden="1">
      <c r="A68" s="92"/>
      <c r="B68" s="105" t="s">
        <v>41</v>
      </c>
      <c r="C68" s="110">
        <f aca="true" t="shared" si="79" ref="C68:AA68">N66/(C45-$N$5)/(1+C45)^10</f>
        <v>79.1377356160244</v>
      </c>
      <c r="D68" s="51">
        <f t="shared" si="79"/>
        <v>83.09462239682566</v>
      </c>
      <c r="E68" s="51">
        <f t="shared" si="79"/>
        <v>87.2493535166669</v>
      </c>
      <c r="F68" s="51">
        <f t="shared" si="79"/>
        <v>91.61182119250027</v>
      </c>
      <c r="G68" s="51">
        <f t="shared" si="79"/>
        <v>96.1924122521253</v>
      </c>
      <c r="H68" s="51">
        <f t="shared" si="79"/>
        <v>101.00203286473156</v>
      </c>
      <c r="I68" s="51">
        <f t="shared" si="79"/>
        <v>106.05213450796813</v>
      </c>
      <c r="J68" s="51">
        <f t="shared" si="79"/>
        <v>111.35474123336655</v>
      </c>
      <c r="K68" s="51">
        <f t="shared" si="79"/>
        <v>116.92247829503488</v>
      </c>
      <c r="L68" s="51">
        <f t="shared" si="79"/>
        <v>122.76860220978665</v>
      </c>
      <c r="M68" s="111">
        <f t="shared" si="79"/>
        <v>128.90703232027596</v>
      </c>
      <c r="N68" s="110">
        <f t="shared" si="79"/>
        <v>135.35238393628978</v>
      </c>
      <c r="O68" s="51">
        <f t="shared" si="79"/>
        <v>142.12000313310426</v>
      </c>
      <c r="P68" s="51">
        <f t="shared" si="79"/>
        <v>149.22600328975943</v>
      </c>
      <c r="Q68" s="51">
        <f t="shared" si="79"/>
        <v>0</v>
      </c>
      <c r="R68" s="43">
        <f t="shared" si="79"/>
        <v>0</v>
      </c>
      <c r="S68" s="43">
        <f t="shared" si="79"/>
        <v>0</v>
      </c>
      <c r="T68" s="43">
        <f t="shared" si="79"/>
        <v>0</v>
      </c>
      <c r="U68" s="43">
        <f t="shared" si="79"/>
        <v>0</v>
      </c>
      <c r="V68" s="43">
        <f t="shared" si="79"/>
        <v>0</v>
      </c>
      <c r="W68" s="43">
        <f t="shared" si="79"/>
        <v>0</v>
      </c>
      <c r="X68" s="43">
        <f t="shared" si="79"/>
        <v>0</v>
      </c>
      <c r="Y68" s="43">
        <f t="shared" si="79"/>
        <v>0</v>
      </c>
      <c r="Z68" s="43">
        <f t="shared" si="79"/>
        <v>0</v>
      </c>
      <c r="AA68" s="43">
        <f t="shared" si="79"/>
        <v>0</v>
      </c>
    </row>
    <row r="69" spans="1:27" ht="10.5" customHeight="1">
      <c r="A69" s="92">
        <v>41</v>
      </c>
      <c r="B69" s="180" t="s">
        <v>83</v>
      </c>
      <c r="C69" s="134">
        <f aca="true" t="shared" si="80" ref="C69:L69">C67+C68</f>
        <v>626.719881045562</v>
      </c>
      <c r="D69" s="66">
        <f t="shared" si="80"/>
        <v>626.0638572546742</v>
      </c>
      <c r="E69" s="66">
        <f t="shared" si="80"/>
        <v>625.276628705609</v>
      </c>
      <c r="F69" s="66">
        <f t="shared" si="80"/>
        <v>589.3319544467307</v>
      </c>
      <c r="G69" s="66">
        <f t="shared" si="80"/>
        <v>546.198345336077</v>
      </c>
      <c r="H69" s="66">
        <f t="shared" si="80"/>
        <v>511.9380144032923</v>
      </c>
      <c r="I69" s="66">
        <f t="shared" si="80"/>
        <v>488.3256172839507</v>
      </c>
      <c r="J69" s="66">
        <f t="shared" si="80"/>
        <v>466.9907407407408</v>
      </c>
      <c r="K69" s="66">
        <f t="shared" si="80"/>
        <v>458.88888888888897</v>
      </c>
      <c r="L69" s="66">
        <f t="shared" si="80"/>
        <v>466.6666666666668</v>
      </c>
      <c r="M69" s="135">
        <f aca="true" t="shared" si="81" ref="M69:AA69">M67+M68</f>
        <v>490.0000000000001</v>
      </c>
      <c r="N69" s="134">
        <f t="shared" si="81"/>
        <v>514.5000000000002</v>
      </c>
      <c r="O69" s="66">
        <f t="shared" si="81"/>
        <v>540.2250000000003</v>
      </c>
      <c r="P69" s="66">
        <f t="shared" si="81"/>
        <v>567.2362500000002</v>
      </c>
      <c r="Q69" s="66">
        <f t="shared" si="81"/>
        <v>438.91075904575285</v>
      </c>
      <c r="R69" s="136">
        <f t="shared" si="81"/>
        <v>437.35320147990336</v>
      </c>
      <c r="S69" s="136">
        <f t="shared" si="81"/>
        <v>431.0171469321341</v>
      </c>
      <c r="T69" s="136">
        <f t="shared" si="81"/>
        <v>418.7235467326233</v>
      </c>
      <c r="U69" s="136">
        <f t="shared" si="81"/>
        <v>399.0463750139136</v>
      </c>
      <c r="V69" s="136">
        <f t="shared" si="81"/>
        <v>370.2626748982001</v>
      </c>
      <c r="W69" s="136">
        <f t="shared" si="81"/>
        <v>330.2925860034191</v>
      </c>
      <c r="X69" s="136">
        <f t="shared" si="81"/>
        <v>276.627348135961</v>
      </c>
      <c r="Y69" s="136">
        <f t="shared" si="81"/>
        <v>206.242874941604</v>
      </c>
      <c r="Z69" s="136">
        <f t="shared" si="81"/>
        <v>115.49600996729822</v>
      </c>
      <c r="AA69" s="136">
        <f t="shared" si="81"/>
        <v>0</v>
      </c>
    </row>
    <row r="70" spans="1:27" ht="10.5" customHeight="1">
      <c r="A70" s="92">
        <v>42</v>
      </c>
      <c r="B70" s="180" t="s">
        <v>84</v>
      </c>
      <c r="C70" s="110">
        <f aca="true" t="shared" si="82" ref="C70:AA70">C69+C48</f>
        <v>2306.3677142407696</v>
      </c>
      <c r="D70" s="51">
        <f t="shared" si="82"/>
        <v>2379.1412570889215</v>
      </c>
      <c r="E70" s="51">
        <f t="shared" si="82"/>
        <v>3033.969508506707</v>
      </c>
      <c r="F70" s="51">
        <f t="shared" si="82"/>
        <v>3234.7634102080488</v>
      </c>
      <c r="G70" s="51">
        <f t="shared" si="82"/>
        <v>3208.216092249658</v>
      </c>
      <c r="H70" s="51">
        <f t="shared" si="82"/>
        <v>3231.3593106995895</v>
      </c>
      <c r="I70" s="51">
        <f t="shared" si="82"/>
        <v>3441.1311728395076</v>
      </c>
      <c r="J70" s="51">
        <f t="shared" si="82"/>
        <v>3562.957407407408</v>
      </c>
      <c r="K70" s="51">
        <f t="shared" si="82"/>
        <v>3704.028888888892</v>
      </c>
      <c r="L70" s="51">
        <f t="shared" si="82"/>
        <v>3872.8136666666696</v>
      </c>
      <c r="M70" s="111">
        <f t="shared" si="82"/>
        <v>4066.4543500000023</v>
      </c>
      <c r="N70" s="110">
        <f t="shared" si="82"/>
        <v>4269.777067500002</v>
      </c>
      <c r="O70" s="51">
        <f t="shared" si="82"/>
        <v>4483.265920875001</v>
      </c>
      <c r="P70" s="51">
        <f t="shared" si="82"/>
        <v>4707.429216918799</v>
      </c>
      <c r="Q70" s="51">
        <f t="shared" si="82"/>
        <v>4786.113374310484</v>
      </c>
      <c r="R70" s="43">
        <f t="shared" si="82"/>
        <v>5001.915947507768</v>
      </c>
      <c r="S70" s="43">
        <f t="shared" si="82"/>
        <v>5223.808030261492</v>
      </c>
      <c r="T70" s="43">
        <f t="shared" si="82"/>
        <v>5451.153974228405</v>
      </c>
      <c r="U70" s="43">
        <f t="shared" si="82"/>
        <v>5683.098323884445</v>
      </c>
      <c r="V70" s="43">
        <f t="shared" si="82"/>
        <v>5918.517221212427</v>
      </c>
      <c r="W70" s="43">
        <f t="shared" si="82"/>
        <v>6155.959859633212</v>
      </c>
      <c r="X70" s="43">
        <f t="shared" si="82"/>
        <v>6393.577985447265</v>
      </c>
      <c r="Y70" s="43">
        <f t="shared" si="82"/>
        <v>6629.041044118418</v>
      </c>
      <c r="Z70" s="43">
        <f t="shared" si="82"/>
        <v>6859.43408760288</v>
      </c>
      <c r="AA70" s="43">
        <f t="shared" si="82"/>
        <v>0</v>
      </c>
    </row>
    <row r="71" spans="1:27" s="137" customFormat="1" ht="10.5" customHeight="1" thickBot="1">
      <c r="A71" s="138">
        <v>43</v>
      </c>
      <c r="B71" s="139" t="s">
        <v>61</v>
      </c>
      <c r="C71" s="140">
        <f aca="true" t="shared" si="83" ref="C71:AA71">C70-C62</f>
        <v>506.3677142407689</v>
      </c>
      <c r="D71" s="141">
        <f t="shared" si="83"/>
        <v>579.1412570889208</v>
      </c>
      <c r="E71" s="141">
        <f t="shared" si="83"/>
        <v>733.9695085067065</v>
      </c>
      <c r="F71" s="141">
        <f t="shared" si="83"/>
        <v>934.7634102080483</v>
      </c>
      <c r="G71" s="141">
        <f t="shared" si="83"/>
        <v>1158.2160922496578</v>
      </c>
      <c r="H71" s="141">
        <f t="shared" si="83"/>
        <v>1431.359310699589</v>
      </c>
      <c r="I71" s="141">
        <f t="shared" si="83"/>
        <v>1741.1311728395076</v>
      </c>
      <c r="J71" s="141">
        <f t="shared" si="83"/>
        <v>2112.9574074074076</v>
      </c>
      <c r="K71" s="141">
        <f t="shared" si="83"/>
        <v>2504.0288888888917</v>
      </c>
      <c r="L71" s="141">
        <f t="shared" si="83"/>
        <v>2872.8136666666687</v>
      </c>
      <c r="M71" s="142">
        <f t="shared" si="83"/>
        <v>3016.454350000002</v>
      </c>
      <c r="N71" s="140">
        <f t="shared" si="83"/>
        <v>3167.2770675000015</v>
      </c>
      <c r="O71" s="141">
        <f t="shared" si="83"/>
        <v>3325.6409208750006</v>
      </c>
      <c r="P71" s="141">
        <f t="shared" si="83"/>
        <v>3491.922966918799</v>
      </c>
      <c r="Q71" s="141">
        <f t="shared" si="83"/>
        <v>3509.8318118104835</v>
      </c>
      <c r="R71" s="143">
        <f t="shared" si="83"/>
        <v>3661.820306882767</v>
      </c>
      <c r="S71" s="143">
        <f t="shared" si="83"/>
        <v>3816.707607605241</v>
      </c>
      <c r="T71" s="143">
        <f t="shared" si="83"/>
        <v>3973.6985304393415</v>
      </c>
      <c r="U71" s="143">
        <f t="shared" si="83"/>
        <v>4131.770107905928</v>
      </c>
      <c r="V71" s="143">
        <f t="shared" si="83"/>
        <v>4289.622594434984</v>
      </c>
      <c r="W71" s="143">
        <f t="shared" si="83"/>
        <v>4445.620501516897</v>
      </c>
      <c r="X71" s="143">
        <f t="shared" si="83"/>
        <v>4597.721659425135</v>
      </c>
      <c r="Y71" s="143">
        <f t="shared" si="83"/>
        <v>4743.391901795181</v>
      </c>
      <c r="Z71" s="143">
        <f t="shared" si="83"/>
        <v>4879.502488163482</v>
      </c>
      <c r="AA71" s="143">
        <f t="shared" si="83"/>
        <v>-2078.9281794113685</v>
      </c>
    </row>
    <row r="72" spans="1:27" ht="10.5" customHeight="1">
      <c r="A72" s="92">
        <v>44</v>
      </c>
      <c r="B72" s="102" t="s">
        <v>62</v>
      </c>
      <c r="C72" s="98">
        <f aca="true" t="shared" si="84" ref="C72:AA72">C42*(C62*(1-$A107)+C80)/C80-C65*C62*(1-$A107)/C80</f>
        <v>2.4441086574731807</v>
      </c>
      <c r="D72" s="99">
        <f t="shared" si="84"/>
        <v>2.2626453236567152</v>
      </c>
      <c r="E72" s="99">
        <f t="shared" si="84"/>
        <v>2.2730433474014826</v>
      </c>
      <c r="F72" s="99">
        <f t="shared" si="84"/>
        <v>1.9995844828714868</v>
      </c>
      <c r="G72" s="99">
        <f t="shared" si="84"/>
        <v>1.7190475987795921</v>
      </c>
      <c r="H72" s="99">
        <f t="shared" si="84"/>
        <v>1.5108780126232557</v>
      </c>
      <c r="I72" s="99">
        <f t="shared" si="84"/>
        <v>1.3966530556532968</v>
      </c>
      <c r="J72" s="99">
        <f t="shared" si="84"/>
        <v>1.2787857899714017</v>
      </c>
      <c r="K72" s="99">
        <f t="shared" si="84"/>
        <v>1.1946862522885335</v>
      </c>
      <c r="L72" s="99">
        <f t="shared" si="84"/>
        <v>1.141411886442107</v>
      </c>
      <c r="M72" s="100">
        <f t="shared" si="84"/>
        <v>1.141411886442107</v>
      </c>
      <c r="N72" s="98">
        <f t="shared" si="84"/>
        <v>1.1414118864421068</v>
      </c>
      <c r="O72" s="99">
        <f t="shared" si="84"/>
        <v>1.1414118864421066</v>
      </c>
      <c r="P72" s="99">
        <f t="shared" si="84"/>
        <v>1.1414118864421068</v>
      </c>
      <c r="Q72" s="99">
        <f t="shared" si="84"/>
        <v>1.1414118864421068</v>
      </c>
      <c r="R72" s="123">
        <f t="shared" si="84"/>
        <v>1.1414118864421068</v>
      </c>
      <c r="S72" s="123">
        <f t="shared" si="84"/>
        <v>1.1414118864421068</v>
      </c>
      <c r="T72" s="123">
        <f t="shared" si="84"/>
        <v>1.1414118864421066</v>
      </c>
      <c r="U72" s="123">
        <f t="shared" si="84"/>
        <v>1.1414118864421063</v>
      </c>
      <c r="V72" s="123">
        <f t="shared" si="84"/>
        <v>1.1414118864421063</v>
      </c>
      <c r="W72" s="123">
        <f t="shared" si="84"/>
        <v>1.1414118864421063</v>
      </c>
      <c r="X72" s="68">
        <f t="shared" si="84"/>
        <v>1.1414118864421063</v>
      </c>
      <c r="Y72" s="68">
        <f t="shared" si="84"/>
        <v>1.141411886442106</v>
      </c>
      <c r="Z72" s="68">
        <f t="shared" si="84"/>
        <v>1.141411886442106</v>
      </c>
      <c r="AA72" s="68">
        <f t="shared" si="84"/>
        <v>1.1414118864421055</v>
      </c>
    </row>
    <row r="73" spans="1:27" s="3" customFormat="1" ht="10.5" customHeight="1">
      <c r="A73" s="92">
        <v>45</v>
      </c>
      <c r="B73" s="93" t="s">
        <v>63</v>
      </c>
      <c r="C73" s="82">
        <f aca="true" t="shared" si="85" ref="C73:AA73">C43+C44*C72</f>
        <v>0.31552869259785443</v>
      </c>
      <c r="D73" s="26">
        <f t="shared" si="85"/>
        <v>0.3010116258925372</v>
      </c>
      <c r="E73" s="26">
        <f t="shared" si="85"/>
        <v>0.30184346779211857</v>
      </c>
      <c r="F73" s="26">
        <f t="shared" si="85"/>
        <v>0.279966758629719</v>
      </c>
      <c r="G73" s="26">
        <f t="shared" si="85"/>
        <v>0.2575238079023674</v>
      </c>
      <c r="H73" s="26">
        <f t="shared" si="85"/>
        <v>0.24087024100986046</v>
      </c>
      <c r="I73" s="26">
        <f t="shared" si="85"/>
        <v>0.23173224445226376</v>
      </c>
      <c r="J73" s="26">
        <f t="shared" si="85"/>
        <v>0.22230286319771214</v>
      </c>
      <c r="K73" s="26">
        <f t="shared" si="85"/>
        <v>0.21557490018308267</v>
      </c>
      <c r="L73" s="26">
        <f t="shared" si="85"/>
        <v>0.21131295091536856</v>
      </c>
      <c r="M73" s="83">
        <f t="shared" si="85"/>
        <v>0.21131295091536856</v>
      </c>
      <c r="N73" s="82">
        <f t="shared" si="85"/>
        <v>0.21131295091536856</v>
      </c>
      <c r="O73" s="26">
        <f t="shared" si="85"/>
        <v>0.2113129509153685</v>
      </c>
      <c r="P73" s="26">
        <f t="shared" si="85"/>
        <v>0.21131295091536856</v>
      </c>
      <c r="Q73" s="26">
        <f t="shared" si="85"/>
        <v>0.21131295091536856</v>
      </c>
      <c r="R73" s="23">
        <f t="shared" si="85"/>
        <v>0.21131295091536856</v>
      </c>
      <c r="S73" s="23">
        <f t="shared" si="85"/>
        <v>0.21131295091536856</v>
      </c>
      <c r="T73" s="23">
        <f t="shared" si="85"/>
        <v>0.2113129509153685</v>
      </c>
      <c r="U73" s="23">
        <f t="shared" si="85"/>
        <v>0.2113129509153685</v>
      </c>
      <c r="V73" s="23">
        <f t="shared" si="85"/>
        <v>0.2113129509153685</v>
      </c>
      <c r="W73" s="23">
        <f t="shared" si="85"/>
        <v>0.2113129509153685</v>
      </c>
      <c r="X73" s="23">
        <f t="shared" si="85"/>
        <v>0.2113129509153685</v>
      </c>
      <c r="Y73" s="23">
        <f t="shared" si="85"/>
        <v>0.21131295091536847</v>
      </c>
      <c r="Z73" s="23">
        <f t="shared" si="85"/>
        <v>0.21131295091536847</v>
      </c>
      <c r="AA73" s="23">
        <f t="shared" si="85"/>
        <v>0.21131295091536845</v>
      </c>
    </row>
    <row r="74" spans="1:27" ht="10.5" customHeight="1" hidden="1">
      <c r="A74" s="92"/>
      <c r="B74" s="105" t="s">
        <v>64</v>
      </c>
      <c r="C74" s="106">
        <v>1</v>
      </c>
      <c r="D74" s="67">
        <f>1/(1+C73)</f>
        <v>0.7601506570147393</v>
      </c>
      <c r="E74" s="67">
        <f aca="true" t="shared" si="86" ref="E74:N74">D74/(1+D73)</f>
        <v>0.584276605901389</v>
      </c>
      <c r="F74" s="67">
        <f t="shared" si="86"/>
        <v>0.4488071111132138</v>
      </c>
      <c r="G74" s="67">
        <f t="shared" si="86"/>
        <v>0.3506396616062816</v>
      </c>
      <c r="H74" s="67">
        <f t="shared" si="86"/>
        <v>0.2788334180258358</v>
      </c>
      <c r="I74" s="67">
        <f t="shared" si="86"/>
        <v>0.22470795802058408</v>
      </c>
      <c r="J74" s="67">
        <f t="shared" si="86"/>
        <v>0.18243247185633996</v>
      </c>
      <c r="K74" s="101">
        <f t="shared" si="86"/>
        <v>0.14925308395259057</v>
      </c>
      <c r="L74" s="101">
        <f t="shared" si="86"/>
        <v>0.12278394686342319</v>
      </c>
      <c r="M74" s="107">
        <f t="shared" si="86"/>
        <v>0.1013643474798461</v>
      </c>
      <c r="N74" s="108">
        <f t="shared" si="86"/>
        <v>0.08368138671616347</v>
      </c>
      <c r="O74" s="101">
        <f aca="true" t="shared" si="87" ref="O74:AA74">N74/(1+N73)</f>
        <v>0.0690832097955585</v>
      </c>
      <c r="P74" s="101">
        <f t="shared" si="87"/>
        <v>0.05703167768771356</v>
      </c>
      <c r="Q74" s="101">
        <f t="shared" si="87"/>
        <v>0.047082529452538005</v>
      </c>
      <c r="R74" s="109">
        <f t="shared" si="87"/>
        <v>0.03886900525331504</v>
      </c>
      <c r="S74" s="109">
        <f t="shared" si="87"/>
        <v>0.032088326327182747</v>
      </c>
      <c r="T74" s="109">
        <f t="shared" si="87"/>
        <v>0.026490533518141735</v>
      </c>
      <c r="U74" s="109">
        <f t="shared" si="87"/>
        <v>0.021869272922512128</v>
      </c>
      <c r="V74" s="109">
        <f t="shared" si="87"/>
        <v>0.01805418897402681</v>
      </c>
      <c r="W74" s="109">
        <f t="shared" si="87"/>
        <v>0.014904644551503858</v>
      </c>
      <c r="X74" s="109">
        <f t="shared" si="87"/>
        <v>0.012304536610659262</v>
      </c>
      <c r="Y74" s="109">
        <f t="shared" si="87"/>
        <v>0.010158016226410304</v>
      </c>
      <c r="Z74" s="109">
        <f t="shared" si="87"/>
        <v>0.008385955271702548</v>
      </c>
      <c r="AA74" s="109">
        <f t="shared" si="87"/>
        <v>0.006923029482484626</v>
      </c>
    </row>
    <row r="75" spans="1:27" ht="10.5" customHeight="1" hidden="1">
      <c r="A75" s="84">
        <v>27</v>
      </c>
      <c r="B75" s="126" t="s">
        <v>65</v>
      </c>
      <c r="C75" s="144"/>
      <c r="D75" s="145">
        <f aca="true" t="shared" si="88" ref="D75:AA75">C39</f>
        <v>87</v>
      </c>
      <c r="E75" s="145">
        <f t="shared" si="88"/>
        <v>19.5</v>
      </c>
      <c r="F75" s="145">
        <f t="shared" si="88"/>
        <v>20.75</v>
      </c>
      <c r="G75" s="145">
        <f t="shared" si="88"/>
        <v>38.25</v>
      </c>
      <c r="H75" s="145">
        <f t="shared" si="88"/>
        <v>25.125</v>
      </c>
      <c r="I75" s="145">
        <f t="shared" si="88"/>
        <v>35</v>
      </c>
      <c r="J75" s="145">
        <f t="shared" si="88"/>
        <v>31.649999999999977</v>
      </c>
      <c r="K75" s="145">
        <f t="shared" si="88"/>
        <v>78.64500000000021</v>
      </c>
      <c r="L75" s="145">
        <f t="shared" si="88"/>
        <v>171.02100000000019</v>
      </c>
      <c r="M75" s="146">
        <f t="shared" si="88"/>
        <v>463.4220500000006</v>
      </c>
      <c r="N75" s="144">
        <f t="shared" si="88"/>
        <v>486.59315250000077</v>
      </c>
      <c r="O75" s="145">
        <f t="shared" si="88"/>
        <v>510.92281012499905</v>
      </c>
      <c r="P75" s="145">
        <f t="shared" si="88"/>
        <v>536.46895063125</v>
      </c>
      <c r="Q75" s="145">
        <f t="shared" si="88"/>
        <v>563.2923981628135</v>
      </c>
      <c r="R75" s="125">
        <f t="shared" si="88"/>
        <v>591.4570180709529</v>
      </c>
      <c r="S75" s="125">
        <f t="shared" si="88"/>
        <v>621.0298689745011</v>
      </c>
      <c r="T75" s="125">
        <f t="shared" si="88"/>
        <v>652.0813624232264</v>
      </c>
      <c r="U75" s="125">
        <f t="shared" si="88"/>
        <v>684.6854305443865</v>
      </c>
      <c r="V75" s="125">
        <f t="shared" si="88"/>
        <v>718.9197020716083</v>
      </c>
      <c r="W75" s="125">
        <f t="shared" si="88"/>
        <v>754.865687175188</v>
      </c>
      <c r="X75" s="125">
        <f t="shared" si="88"/>
        <v>792.6089715339476</v>
      </c>
      <c r="Y75" s="125">
        <f t="shared" si="88"/>
        <v>832.2394201106442</v>
      </c>
      <c r="Z75" s="125">
        <f t="shared" si="88"/>
        <v>873.8513911161738</v>
      </c>
      <c r="AA75" s="125">
        <f t="shared" si="88"/>
        <v>917.5439606719854</v>
      </c>
    </row>
    <row r="76" spans="1:27" ht="10.5" customHeight="1" hidden="1">
      <c r="A76" s="92"/>
      <c r="B76" s="105" t="s">
        <v>52</v>
      </c>
      <c r="C76" s="110"/>
      <c r="D76" s="51">
        <f aca="true" t="shared" si="89" ref="D76:M76">D75*D74</f>
        <v>66.13310716028232</v>
      </c>
      <c r="E76" s="51">
        <f t="shared" si="89"/>
        <v>11.393393815077085</v>
      </c>
      <c r="F76" s="51">
        <f t="shared" si="89"/>
        <v>9.312747555599186</v>
      </c>
      <c r="G76" s="51">
        <f t="shared" si="89"/>
        <v>13.411967056440272</v>
      </c>
      <c r="H76" s="51">
        <f t="shared" si="89"/>
        <v>7.005689627899124</v>
      </c>
      <c r="I76" s="51">
        <f t="shared" si="89"/>
        <v>7.864778530720443</v>
      </c>
      <c r="J76" s="51">
        <f t="shared" si="89"/>
        <v>5.773987734253155</v>
      </c>
      <c r="K76" s="51">
        <f t="shared" si="89"/>
        <v>11.738008787451516</v>
      </c>
      <c r="L76" s="51">
        <f t="shared" si="89"/>
        <v>20.99863337652952</v>
      </c>
      <c r="M76" s="111">
        <f t="shared" si="89"/>
        <v>46.97447370602267</v>
      </c>
      <c r="N76" s="110">
        <f aca="true" t="shared" si="90" ref="N76:AA76">N75*N74</f>
        <v>40.71878976778967</v>
      </c>
      <c r="O76" s="51">
        <f t="shared" si="90"/>
        <v>35.29618768120161</v>
      </c>
      <c r="P76" s="51">
        <f t="shared" si="90"/>
        <v>30.59572428186737</v>
      </c>
      <c r="Q76" s="51">
        <f t="shared" si="90"/>
        <v>26.52123092689143</v>
      </c>
      <c r="R76" s="43">
        <f t="shared" si="90"/>
        <v>22.989345942509917</v>
      </c>
      <c r="S76" s="43">
        <f t="shared" si="90"/>
        <v>19.927809094581338</v>
      </c>
      <c r="T76" s="43">
        <f t="shared" si="90"/>
        <v>17.27398318782801</v>
      </c>
      <c r="U76" s="43">
        <f t="shared" si="90"/>
        <v>14.97357254664291</v>
      </c>
      <c r="V76" s="43">
        <f t="shared" si="90"/>
        <v>12.97951215835187</v>
      </c>
      <c r="W76" s="43">
        <f t="shared" si="90"/>
        <v>11.251004751472882</v>
      </c>
      <c r="X76" s="43">
        <f t="shared" si="90"/>
        <v>9.752686108176444</v>
      </c>
      <c r="Y76" s="43">
        <f t="shared" si="90"/>
        <v>8.453901533742226</v>
      </c>
      <c r="Z76" s="43">
        <f t="shared" si="90"/>
        <v>7.328078680015283</v>
      </c>
      <c r="AA76" s="43">
        <f t="shared" si="90"/>
        <v>6.3521838912078685</v>
      </c>
    </row>
    <row r="77" spans="1:27" ht="10.5" customHeight="1" hidden="1">
      <c r="A77" s="92"/>
      <c r="B77" s="105" t="s">
        <v>53</v>
      </c>
      <c r="C77" s="110">
        <f>SUM(D76:M76)</f>
        <v>200.6067873502753</v>
      </c>
      <c r="D77" s="51">
        <f aca="true" t="shared" si="91" ref="D77:M77">SUM(E76:N76)/D74</f>
        <v>230.47072095655068</v>
      </c>
      <c r="E77" s="51">
        <f t="shared" si="91"/>
        <v>340.7551522908473</v>
      </c>
      <c r="F77" s="51">
        <f t="shared" si="91"/>
        <v>491.0310801527917</v>
      </c>
      <c r="G77" s="51">
        <f t="shared" si="91"/>
        <v>665.890171553952</v>
      </c>
      <c r="H77" s="51">
        <f t="shared" si="91"/>
        <v>894.6960608291297</v>
      </c>
      <c r="I77" s="51">
        <f t="shared" si="91"/>
        <v>1163.8848646167694</v>
      </c>
      <c r="J77" s="51">
        <f t="shared" si="91"/>
        <v>1496.6315150719397</v>
      </c>
      <c r="K77" s="51">
        <f t="shared" si="91"/>
        <v>1851.0153572412617</v>
      </c>
      <c r="L77" s="51">
        <f t="shared" si="91"/>
        <v>2184.736980250938</v>
      </c>
      <c r="M77" s="111">
        <f t="shared" si="91"/>
        <v>2293.9738292634847</v>
      </c>
      <c r="N77" s="110">
        <f>SUM(O76:X76)/N74</f>
        <v>2408.6725207266586</v>
      </c>
      <c r="O77" s="51">
        <f>SUM(P76:Y76)/O74</f>
        <v>2529.1061467629925</v>
      </c>
      <c r="P77" s="51">
        <f>SUM(Q76:Z76)/P74</f>
        <v>2655.5614541011423</v>
      </c>
      <c r="Q77" s="51">
        <f>SUM(R76:AA76)/Q74</f>
        <v>2788.3395268061986</v>
      </c>
      <c r="R77" s="51">
        <f aca="true" t="shared" si="92" ref="R77:AA78">Q77*1.05</f>
        <v>2927.7565031465087</v>
      </c>
      <c r="S77" s="51">
        <f t="shared" si="92"/>
        <v>3074.1443283038343</v>
      </c>
      <c r="T77" s="51">
        <f t="shared" si="92"/>
        <v>3227.851544719026</v>
      </c>
      <c r="U77" s="51">
        <f t="shared" si="92"/>
        <v>3389.244121954978</v>
      </c>
      <c r="V77" s="51">
        <f t="shared" si="92"/>
        <v>3558.706328052727</v>
      </c>
      <c r="W77" s="51">
        <f t="shared" si="92"/>
        <v>3736.6416444553633</v>
      </c>
      <c r="X77" s="51">
        <f t="shared" si="92"/>
        <v>3923.4737266781317</v>
      </c>
      <c r="Y77" s="51">
        <f t="shared" si="92"/>
        <v>4119.647413012039</v>
      </c>
      <c r="Z77" s="51">
        <f t="shared" si="92"/>
        <v>4325.629783662641</v>
      </c>
      <c r="AA77" s="51">
        <f t="shared" si="92"/>
        <v>4541.911272845773</v>
      </c>
    </row>
    <row r="78" spans="1:27" ht="10.5" customHeight="1" hidden="1">
      <c r="A78" s="92"/>
      <c r="B78" s="105" t="s">
        <v>41</v>
      </c>
      <c r="C78" s="110">
        <f>N75/(N73-$N$5)*M74</f>
        <v>305.7609268904938</v>
      </c>
      <c r="D78" s="51">
        <f aca="true" t="shared" si="93" ref="D78:M78">O75/(O73-$N$5)*N74/D74</f>
        <v>348.6705361323711</v>
      </c>
      <c r="E78" s="51">
        <f t="shared" si="93"/>
        <v>393.21435621585925</v>
      </c>
      <c r="F78" s="51">
        <f t="shared" si="93"/>
        <v>443.73233005525697</v>
      </c>
      <c r="G78" s="51">
        <f t="shared" si="93"/>
        <v>492.32592069570535</v>
      </c>
      <c r="H78" s="51">
        <f t="shared" si="93"/>
        <v>536.6632498704595</v>
      </c>
      <c r="I78" s="51">
        <f t="shared" si="93"/>
        <v>577.2463082227381</v>
      </c>
      <c r="J78" s="51">
        <f t="shared" si="93"/>
        <v>616.3258923354682</v>
      </c>
      <c r="K78" s="51">
        <f t="shared" si="93"/>
        <v>653.0135316476297</v>
      </c>
      <c r="L78" s="51">
        <f t="shared" si="93"/>
        <v>688.0766864157308</v>
      </c>
      <c r="M78" s="111">
        <f t="shared" si="93"/>
        <v>722.4805207365174</v>
      </c>
      <c r="N78" s="110">
        <f>Y75/(Y73-$N$5)*X74/N74</f>
        <v>758.6045467733429</v>
      </c>
      <c r="O78" s="51">
        <f>Z75/(Z73-$N$5)*Y74/O74</f>
        <v>796.5347741120078</v>
      </c>
      <c r="P78" s="51">
        <f>AA75/(AA73-$N$5)*Z74/P74</f>
        <v>836.3615128176108</v>
      </c>
      <c r="Q78" s="51">
        <f>P78*1.05</f>
        <v>878.1795884584914</v>
      </c>
      <c r="R78" s="51">
        <f t="shared" si="92"/>
        <v>922.088567881416</v>
      </c>
      <c r="S78" s="51">
        <f t="shared" si="92"/>
        <v>968.1929962754868</v>
      </c>
      <c r="T78" s="51">
        <f t="shared" si="92"/>
        <v>1016.6026460892613</v>
      </c>
      <c r="U78" s="51">
        <f t="shared" si="92"/>
        <v>1067.4327783937244</v>
      </c>
      <c r="V78" s="51">
        <f t="shared" si="92"/>
        <v>1120.8044173134108</v>
      </c>
      <c r="W78" s="51">
        <f t="shared" si="92"/>
        <v>1176.8446381790814</v>
      </c>
      <c r="X78" s="51">
        <f t="shared" si="92"/>
        <v>1235.6868700880354</v>
      </c>
      <c r="Y78" s="51">
        <f t="shared" si="92"/>
        <v>1297.4712135924374</v>
      </c>
      <c r="Z78" s="51">
        <f t="shared" si="92"/>
        <v>1362.3447742720593</v>
      </c>
      <c r="AA78" s="51">
        <f t="shared" si="92"/>
        <v>1430.4620129856623</v>
      </c>
    </row>
    <row r="79" spans="1:27" s="137" customFormat="1" ht="10.5" customHeight="1" thickBot="1">
      <c r="A79" s="138">
        <v>46</v>
      </c>
      <c r="B79" s="147" t="s">
        <v>66</v>
      </c>
      <c r="C79" s="140">
        <f aca="true" t="shared" si="94" ref="C79:L79">C77+C78</f>
        <v>506.36771424076915</v>
      </c>
      <c r="D79" s="141">
        <f t="shared" si="94"/>
        <v>579.1412570889217</v>
      </c>
      <c r="E79" s="141">
        <f t="shared" si="94"/>
        <v>733.9695085067066</v>
      </c>
      <c r="F79" s="141">
        <f t="shared" si="94"/>
        <v>934.7634102080486</v>
      </c>
      <c r="G79" s="141">
        <f t="shared" si="94"/>
        <v>1158.2160922496573</v>
      </c>
      <c r="H79" s="141">
        <f t="shared" si="94"/>
        <v>1431.359310699589</v>
      </c>
      <c r="I79" s="141">
        <f t="shared" si="94"/>
        <v>1741.1311728395076</v>
      </c>
      <c r="J79" s="141">
        <f t="shared" si="94"/>
        <v>2112.957407407408</v>
      </c>
      <c r="K79" s="141">
        <f t="shared" si="94"/>
        <v>2504.0288888888913</v>
      </c>
      <c r="L79" s="141">
        <f t="shared" si="94"/>
        <v>2872.8136666666687</v>
      </c>
      <c r="M79" s="142">
        <f aca="true" t="shared" si="95" ref="M79:AA79">M77+M78</f>
        <v>3016.4543500000023</v>
      </c>
      <c r="N79" s="140">
        <f t="shared" si="95"/>
        <v>3167.2770675000015</v>
      </c>
      <c r="O79" s="141">
        <f t="shared" si="95"/>
        <v>3325.640920875</v>
      </c>
      <c r="P79" s="141">
        <f t="shared" si="95"/>
        <v>3491.922966918753</v>
      </c>
      <c r="Q79" s="141">
        <f t="shared" si="95"/>
        <v>3666.51911526469</v>
      </c>
      <c r="R79" s="143">
        <f t="shared" si="95"/>
        <v>3849.845071027925</v>
      </c>
      <c r="S79" s="143">
        <f t="shared" si="95"/>
        <v>4042.337324579321</v>
      </c>
      <c r="T79" s="143">
        <f t="shared" si="95"/>
        <v>4244.454190808287</v>
      </c>
      <c r="U79" s="143">
        <f t="shared" si="95"/>
        <v>4456.6769003487025</v>
      </c>
      <c r="V79" s="143">
        <f t="shared" si="95"/>
        <v>4679.510745366138</v>
      </c>
      <c r="W79" s="143">
        <f t="shared" si="95"/>
        <v>4913.486282634445</v>
      </c>
      <c r="X79" s="143">
        <f t="shared" si="95"/>
        <v>5159.160596766167</v>
      </c>
      <c r="Y79" s="143">
        <f t="shared" si="95"/>
        <v>5417.118626604476</v>
      </c>
      <c r="Z79" s="143">
        <f t="shared" si="95"/>
        <v>5687.9745579347</v>
      </c>
      <c r="AA79" s="143">
        <f t="shared" si="95"/>
        <v>5972.373285831435</v>
      </c>
    </row>
    <row r="80" spans="1:27" ht="10.5" customHeight="1">
      <c r="A80" s="148">
        <v>47</v>
      </c>
      <c r="B80" s="85" t="s">
        <v>67</v>
      </c>
      <c r="C80" s="149">
        <f>C79</f>
        <v>506.36771424076915</v>
      </c>
      <c r="D80" s="150">
        <f aca="true" t="shared" si="96" ref="D80:M80">C80*(1+C73)-D75</f>
        <v>579.141257088923</v>
      </c>
      <c r="E80" s="150">
        <f t="shared" si="96"/>
        <v>733.9695085067076</v>
      </c>
      <c r="F80" s="150">
        <f t="shared" si="96"/>
        <v>934.7634102080492</v>
      </c>
      <c r="G80" s="150">
        <f t="shared" si="96"/>
        <v>1158.2160922496591</v>
      </c>
      <c r="H80" s="150">
        <f t="shared" si="96"/>
        <v>1431.359310699591</v>
      </c>
      <c r="I80" s="150">
        <f t="shared" si="96"/>
        <v>1741.1311728395094</v>
      </c>
      <c r="J80" s="150">
        <f t="shared" si="96"/>
        <v>2112.957407407411</v>
      </c>
      <c r="K80" s="150">
        <f t="shared" si="96"/>
        <v>2504.0288888888936</v>
      </c>
      <c r="L80" s="150">
        <f t="shared" si="96"/>
        <v>2872.813666666672</v>
      </c>
      <c r="M80" s="151">
        <f t="shared" si="96"/>
        <v>3016.454350000006</v>
      </c>
      <c r="N80" s="149">
        <f aca="true" t="shared" si="97" ref="N80:AA80">M80*(1+M73)-N75</f>
        <v>3167.2770675000065</v>
      </c>
      <c r="O80" s="150">
        <f t="shared" si="97"/>
        <v>3325.6409208750088</v>
      </c>
      <c r="P80" s="150">
        <f t="shared" si="97"/>
        <v>3491.9229669187607</v>
      </c>
      <c r="Q80" s="150">
        <f t="shared" si="97"/>
        <v>3666.5191152646994</v>
      </c>
      <c r="R80" s="152">
        <f t="shared" si="97"/>
        <v>3849.8450710279362</v>
      </c>
      <c r="S80" s="152">
        <f t="shared" si="97"/>
        <v>4042.3373245793346</v>
      </c>
      <c r="T80" s="152">
        <f t="shared" si="97"/>
        <v>4244.454190808303</v>
      </c>
      <c r="U80" s="152">
        <f t="shared" si="97"/>
        <v>4456.676900348722</v>
      </c>
      <c r="V80" s="152">
        <f t="shared" si="97"/>
        <v>4679.510745366159</v>
      </c>
      <c r="W80" s="152">
        <f t="shared" si="97"/>
        <v>4913.486282634471</v>
      </c>
      <c r="X80" s="152">
        <f t="shared" si="97"/>
        <v>5159.160596766198</v>
      </c>
      <c r="Y80" s="152">
        <f t="shared" si="97"/>
        <v>5417.118626604513</v>
      </c>
      <c r="Z80" s="152">
        <f t="shared" si="97"/>
        <v>5687.974557934747</v>
      </c>
      <c r="AA80" s="152">
        <f t="shared" si="97"/>
        <v>5972.373285831492</v>
      </c>
    </row>
    <row r="81" spans="1:27" s="3" customFormat="1" ht="10.5" customHeight="1">
      <c r="A81" s="92">
        <v>48</v>
      </c>
      <c r="B81" s="93" t="s">
        <v>85</v>
      </c>
      <c r="C81" s="82">
        <f aca="true" t="shared" si="98" ref="C81:AA81">(C80*C73+C62*C64-C53*C54*$A107)/(C80+C62)</f>
        <v>0.14536864211981143</v>
      </c>
      <c r="D81" s="26">
        <f t="shared" si="98"/>
        <v>0.1470397145925789</v>
      </c>
      <c r="E81" s="26">
        <f t="shared" si="98"/>
        <v>0.14693420631005527</v>
      </c>
      <c r="F81" s="26">
        <f t="shared" si="98"/>
        <v>0.15022819922720562</v>
      </c>
      <c r="G81" s="26">
        <f t="shared" si="98"/>
        <v>0.1552710927587876</v>
      </c>
      <c r="H81" s="26">
        <f t="shared" si="98"/>
        <v>0.161007121806977</v>
      </c>
      <c r="I81" s="26">
        <f t="shared" si="98"/>
        <v>0.16541834820501625</v>
      </c>
      <c r="J81" s="26">
        <f t="shared" si="98"/>
        <v>0.17151242959318547</v>
      </c>
      <c r="K81" s="26">
        <f t="shared" si="98"/>
        <v>0.17732199112917887</v>
      </c>
      <c r="L81" s="26">
        <f t="shared" si="98"/>
        <v>0.18192528584514917</v>
      </c>
      <c r="M81" s="83">
        <f t="shared" si="98"/>
        <v>0.1819252858451491</v>
      </c>
      <c r="N81" s="82">
        <f t="shared" si="98"/>
        <v>0.18192528584514914</v>
      </c>
      <c r="O81" s="26">
        <f t="shared" si="98"/>
        <v>0.18192528584514908</v>
      </c>
      <c r="P81" s="26">
        <f t="shared" si="98"/>
        <v>0.18192528584514914</v>
      </c>
      <c r="Q81" s="26">
        <f t="shared" si="98"/>
        <v>0.1819252858451492</v>
      </c>
      <c r="R81" s="23">
        <f t="shared" si="98"/>
        <v>0.1819252858451492</v>
      </c>
      <c r="S81" s="23">
        <f t="shared" si="98"/>
        <v>0.18192528584514917</v>
      </c>
      <c r="T81" s="153">
        <f t="shared" si="98"/>
        <v>0.18192528584514914</v>
      </c>
      <c r="U81" s="153">
        <f t="shared" si="98"/>
        <v>0.18192528584514917</v>
      </c>
      <c r="V81" s="153">
        <f t="shared" si="98"/>
        <v>0.18192528584514914</v>
      </c>
      <c r="W81" s="153">
        <f t="shared" si="98"/>
        <v>0.1819252858451492</v>
      </c>
      <c r="X81" s="153">
        <f t="shared" si="98"/>
        <v>0.1819252858451492</v>
      </c>
      <c r="Y81" s="153">
        <f t="shared" si="98"/>
        <v>0.1819252858451492</v>
      </c>
      <c r="Z81" s="153">
        <f t="shared" si="98"/>
        <v>0.18192528584514925</v>
      </c>
      <c r="AA81" s="153">
        <f t="shared" si="98"/>
        <v>0.18192528584514922</v>
      </c>
    </row>
    <row r="82" spans="1:27" ht="10.5" customHeight="1" hidden="1">
      <c r="A82" s="92"/>
      <c r="B82" s="105" t="s">
        <v>69</v>
      </c>
      <c r="C82" s="106">
        <v>1</v>
      </c>
      <c r="D82" s="67">
        <f>1/(1+C81)</f>
        <v>0.8730813497296662</v>
      </c>
      <c r="E82" s="67">
        <f aca="true" t="shared" si="99" ref="E82:N82">D82/(1+D81)</f>
        <v>0.7611605235828989</v>
      </c>
      <c r="F82" s="67">
        <f t="shared" si="99"/>
        <v>0.6636479402177071</v>
      </c>
      <c r="G82" s="67">
        <f t="shared" si="99"/>
        <v>0.5769706747440089</v>
      </c>
      <c r="H82" s="67">
        <f t="shared" si="99"/>
        <v>0.4994244886420578</v>
      </c>
      <c r="I82" s="67">
        <f t="shared" si="99"/>
        <v>0.43016487949252175</v>
      </c>
      <c r="J82" s="67">
        <f t="shared" si="99"/>
        <v>0.36910769437864444</v>
      </c>
      <c r="K82" s="67">
        <f t="shared" si="99"/>
        <v>0.3150693795940511</v>
      </c>
      <c r="L82" s="67">
        <f t="shared" si="99"/>
        <v>0.26761530147913537</v>
      </c>
      <c r="M82" s="154">
        <f t="shared" si="99"/>
        <v>0.22642319669789784</v>
      </c>
      <c r="N82" s="106">
        <f t="shared" si="99"/>
        <v>0.19157149729307246</v>
      </c>
      <c r="O82" s="67">
        <f aca="true" t="shared" si="100" ref="O82:AA82">N82/(1+N81)</f>
        <v>0.1620842701204138</v>
      </c>
      <c r="P82" s="67">
        <f t="shared" si="100"/>
        <v>0.1371358004279548</v>
      </c>
      <c r="Q82" s="67">
        <f t="shared" si="100"/>
        <v>0.11602746981582197</v>
      </c>
      <c r="R82" s="68">
        <f t="shared" si="100"/>
        <v>0.09816819320593112</v>
      </c>
      <c r="S82" s="68">
        <f t="shared" si="100"/>
        <v>0.0830578670086873</v>
      </c>
      <c r="T82" s="68">
        <f t="shared" si="100"/>
        <v>0.07027336499472199</v>
      </c>
      <c r="U82" s="68">
        <f t="shared" si="100"/>
        <v>0.059456689721696085</v>
      </c>
      <c r="V82" s="68">
        <f t="shared" si="100"/>
        <v>0.05030494772703073</v>
      </c>
      <c r="W82" s="68">
        <f t="shared" si="100"/>
        <v>0.04256186776735181</v>
      </c>
      <c r="X82" s="68">
        <f t="shared" si="100"/>
        <v>0.036010624594529646</v>
      </c>
      <c r="Y82" s="68">
        <f t="shared" si="100"/>
        <v>0.03046776731642545</v>
      </c>
      <c r="Z82" s="68">
        <f t="shared" si="100"/>
        <v>0.025778082321539577</v>
      </c>
      <c r="AA82" s="68">
        <f t="shared" si="100"/>
        <v>0.021810246916840147</v>
      </c>
    </row>
    <row r="83" spans="1:27" ht="10.5" customHeight="1" hidden="1">
      <c r="A83" s="84">
        <v>28</v>
      </c>
      <c r="B83" s="126" t="s">
        <v>34</v>
      </c>
      <c r="C83" s="144"/>
      <c r="D83" s="145">
        <f aca="true" t="shared" si="101" ref="D83:AA83">C40</f>
        <v>262.5</v>
      </c>
      <c r="E83" s="145">
        <f t="shared" si="101"/>
        <v>-305</v>
      </c>
      <c r="F83" s="145">
        <f t="shared" si="101"/>
        <v>245</v>
      </c>
      <c r="G83" s="145">
        <f t="shared" si="101"/>
        <v>512.5</v>
      </c>
      <c r="H83" s="145">
        <f t="shared" si="101"/>
        <v>475</v>
      </c>
      <c r="I83" s="145">
        <f t="shared" si="101"/>
        <v>310.5</v>
      </c>
      <c r="J83" s="145">
        <f t="shared" si="101"/>
        <v>447.4</v>
      </c>
      <c r="K83" s="145">
        <f t="shared" si="101"/>
        <v>470.0200000000002</v>
      </c>
      <c r="L83" s="145">
        <f t="shared" si="101"/>
        <v>488.0210000000002</v>
      </c>
      <c r="M83" s="146">
        <f t="shared" si="101"/>
        <v>510.9220500000006</v>
      </c>
      <c r="N83" s="144">
        <f t="shared" si="101"/>
        <v>536.4681525000008</v>
      </c>
      <c r="O83" s="145">
        <f t="shared" si="101"/>
        <v>563.291560124999</v>
      </c>
      <c r="P83" s="145">
        <f t="shared" si="101"/>
        <v>591.4561381312499</v>
      </c>
      <c r="Q83" s="145">
        <f t="shared" si="101"/>
        <v>621.0289450378133</v>
      </c>
      <c r="R83" s="125">
        <f t="shared" si="101"/>
        <v>652.0803922897028</v>
      </c>
      <c r="S83" s="125">
        <f t="shared" si="101"/>
        <v>684.6844119041887</v>
      </c>
      <c r="T83" s="125">
        <f t="shared" si="101"/>
        <v>718.9186324993982</v>
      </c>
      <c r="U83" s="125">
        <f t="shared" si="101"/>
        <v>754.864564124367</v>
      </c>
      <c r="V83" s="125">
        <f t="shared" si="101"/>
        <v>792.6077923305877</v>
      </c>
      <c r="W83" s="125">
        <f t="shared" si="101"/>
        <v>832.2381819471166</v>
      </c>
      <c r="X83" s="125">
        <f t="shared" si="101"/>
        <v>873.8500910444725</v>
      </c>
      <c r="Y83" s="125">
        <f t="shared" si="101"/>
        <v>917.5425955966954</v>
      </c>
      <c r="Z83" s="125">
        <f t="shared" si="101"/>
        <v>963.4197253765276</v>
      </c>
      <c r="AA83" s="125">
        <f t="shared" si="101"/>
        <v>1011.5907116453566</v>
      </c>
    </row>
    <row r="84" spans="1:27" ht="10.5" customHeight="1" hidden="1">
      <c r="A84" s="92"/>
      <c r="B84" s="105" t="s">
        <v>70</v>
      </c>
      <c r="C84" s="110"/>
      <c r="D84" s="51">
        <f aca="true" t="shared" si="102" ref="D84:M84">D83*D82</f>
        <v>229.1838543040374</v>
      </c>
      <c r="E84" s="51">
        <f t="shared" si="102"/>
        <v>-232.15395969278416</v>
      </c>
      <c r="F84" s="51">
        <f t="shared" si="102"/>
        <v>162.59374535333825</v>
      </c>
      <c r="G84" s="51">
        <f t="shared" si="102"/>
        <v>295.6974708063045</v>
      </c>
      <c r="H84" s="51">
        <f t="shared" si="102"/>
        <v>237.22663210497745</v>
      </c>
      <c r="I84" s="51">
        <f t="shared" si="102"/>
        <v>133.566195082428</v>
      </c>
      <c r="J84" s="51">
        <f t="shared" si="102"/>
        <v>165.1387824650055</v>
      </c>
      <c r="K84" s="51">
        <f t="shared" si="102"/>
        <v>148.08890979679597</v>
      </c>
      <c r="L84" s="51">
        <f t="shared" si="102"/>
        <v>130.60188704314916</v>
      </c>
      <c r="M84" s="111">
        <f t="shared" si="102"/>
        <v>115.68460382444333</v>
      </c>
      <c r="N84" s="110">
        <f aca="true" t="shared" si="103" ref="N84:AA84">N83*N82</f>
        <v>102.77200722447348</v>
      </c>
      <c r="O84" s="51">
        <f t="shared" si="103"/>
        <v>91.30070138784964</v>
      </c>
      <c r="P84" s="51">
        <f t="shared" si="103"/>
        <v>81.10981092065596</v>
      </c>
      <c r="Q84" s="51">
        <f t="shared" si="103"/>
        <v>72.05641717512664</v>
      </c>
      <c r="R84" s="43">
        <f t="shared" si="103"/>
        <v>64.0135539360949</v>
      </c>
      <c r="S84" s="43">
        <f t="shared" si="103"/>
        <v>56.86842682685938</v>
      </c>
      <c r="T84" s="43">
        <f t="shared" si="103"/>
        <v>50.52083146313661</v>
      </c>
      <c r="U84" s="43">
        <f t="shared" si="103"/>
        <v>44.88174817104585</v>
      </c>
      <c r="V84" s="43">
        <f t="shared" si="103"/>
        <v>39.872093561227445</v>
      </c>
      <c r="W84" s="43">
        <f t="shared" si="103"/>
        <v>35.42161145097445</v>
      </c>
      <c r="X84" s="43">
        <f t="shared" si="103"/>
        <v>31.46788758049805</v>
      </c>
      <c r="Y84" s="43">
        <f t="shared" si="103"/>
        <v>27.95547430554917</v>
      </c>
      <c r="Z84" s="43">
        <f t="shared" si="103"/>
        <v>24.83511299095118</v>
      </c>
      <c r="AA84" s="43">
        <f t="shared" si="103"/>
        <v>22.063043199767268</v>
      </c>
    </row>
    <row r="85" spans="1:27" ht="10.5" customHeight="1" hidden="1">
      <c r="A85" s="92"/>
      <c r="B85" s="105" t="s">
        <v>53</v>
      </c>
      <c r="C85" s="110">
        <f>SUM(D84:M84)</f>
        <v>1385.6281210876955</v>
      </c>
      <c r="D85" s="51">
        <f aca="true" t="shared" si="104" ref="D85:M85">SUM(E84:N84)/D82</f>
        <v>1442.266833895862</v>
      </c>
      <c r="E85" s="51">
        <f t="shared" si="104"/>
        <v>2079.286676138814</v>
      </c>
      <c r="F85" s="51">
        <f t="shared" si="104"/>
        <v>2262.023144626388</v>
      </c>
      <c r="G85" s="51">
        <f t="shared" si="104"/>
        <v>2214.2302944456032</v>
      </c>
      <c r="H85" s="51">
        <f t="shared" si="104"/>
        <v>2211.2108916779775</v>
      </c>
      <c r="I85" s="51">
        <f t="shared" si="104"/>
        <v>2388.9330570473016</v>
      </c>
      <c r="J85" s="51">
        <f t="shared" si="104"/>
        <v>2473.5792927198586</v>
      </c>
      <c r="K85" s="51">
        <f t="shared" si="104"/>
        <v>2570.259252156553</v>
      </c>
      <c r="L85" s="51">
        <f t="shared" si="104"/>
        <v>2686.9920760004684</v>
      </c>
      <c r="M85" s="111">
        <f t="shared" si="104"/>
        <v>2821.341679800492</v>
      </c>
      <c r="N85" s="110">
        <f>SUM(O84:X84)/N82</f>
        <v>2962.4087637905154</v>
      </c>
      <c r="O85" s="51">
        <f>SUM(P84:Y84)/O82</f>
        <v>3110.529201980043</v>
      </c>
      <c r="P85" s="51">
        <f>SUM(Q84:Z84)/P82</f>
        <v>3266.055662079045</v>
      </c>
      <c r="Q85" s="51">
        <f>SUM(R84:AA84)/Q82</f>
        <v>3429.358445182996</v>
      </c>
      <c r="R85" s="43">
        <f>Q85*1.05</f>
        <v>3600.826367442146</v>
      </c>
      <c r="S85" s="43">
        <f aca="true" t="shared" si="105" ref="S85:AA86">R85*1.05</f>
        <v>3780.8676858142535</v>
      </c>
      <c r="T85" s="43">
        <f t="shared" si="105"/>
        <v>3969.9110701049663</v>
      </c>
      <c r="U85" s="43">
        <f t="shared" si="105"/>
        <v>4168.406623610214</v>
      </c>
      <c r="V85" s="43">
        <f t="shared" si="105"/>
        <v>4376.826954790726</v>
      </c>
      <c r="W85" s="43">
        <f t="shared" si="105"/>
        <v>4595.668302530262</v>
      </c>
      <c r="X85" s="43">
        <f t="shared" si="105"/>
        <v>4825.451717656775</v>
      </c>
      <c r="Y85" s="43">
        <f t="shared" si="105"/>
        <v>5066.724303539614</v>
      </c>
      <c r="Z85" s="43">
        <f t="shared" si="105"/>
        <v>5320.060518716595</v>
      </c>
      <c r="AA85" s="43">
        <f t="shared" si="105"/>
        <v>5586.063544652425</v>
      </c>
    </row>
    <row r="86" spans="1:27" ht="10.5" customHeight="1" hidden="1">
      <c r="A86" s="92"/>
      <c r="B86" s="105" t="s">
        <v>41</v>
      </c>
      <c r="C86" s="110">
        <f>N83/(N81-$N$5)*M82</f>
        <v>920.7395931530735</v>
      </c>
      <c r="D86" s="51">
        <f aca="true" t="shared" si="106" ref="D86:M86">O83/(O81-$N$5)*N82/D82</f>
        <v>936.8744231930584</v>
      </c>
      <c r="E86" s="51">
        <f t="shared" si="106"/>
        <v>954.6828323678911</v>
      </c>
      <c r="F86" s="51">
        <f t="shared" si="106"/>
        <v>972.7402655816596</v>
      </c>
      <c r="G86" s="51">
        <f t="shared" si="106"/>
        <v>993.9857978040525</v>
      </c>
      <c r="H86" s="51">
        <f t="shared" si="106"/>
        <v>1020.1484190216108</v>
      </c>
      <c r="I86" s="51">
        <f t="shared" si="106"/>
        <v>1052.1981157922055</v>
      </c>
      <c r="J86" s="51">
        <f t="shared" si="106"/>
        <v>1089.3781146875474</v>
      </c>
      <c r="K86" s="51">
        <f t="shared" si="106"/>
        <v>1133.769636732338</v>
      </c>
      <c r="L86" s="51">
        <f t="shared" si="106"/>
        <v>1185.821590666199</v>
      </c>
      <c r="M86" s="111">
        <f t="shared" si="106"/>
        <v>1245.1126701995092</v>
      </c>
      <c r="N86" s="110">
        <f>Y83/(Y81-$N$5)*X82/N82</f>
        <v>1307.3683037094834</v>
      </c>
      <c r="O86" s="51">
        <f>Z83/(Z81-$N$5)*Y82/O82</f>
        <v>1372.7367188949534</v>
      </c>
      <c r="P86" s="51">
        <f>AA83/(AA81-$N$5)*Z82/P82</f>
        <v>1441.3735548397044</v>
      </c>
      <c r="Q86" s="51">
        <f>P86*1.05</f>
        <v>1513.4422325816897</v>
      </c>
      <c r="R86" s="43">
        <f>Q86*1.05</f>
        <v>1589.1143442107743</v>
      </c>
      <c r="S86" s="43">
        <f t="shared" si="105"/>
        <v>1668.570061421313</v>
      </c>
      <c r="T86" s="43">
        <f t="shared" si="105"/>
        <v>1751.9985644923788</v>
      </c>
      <c r="U86" s="43">
        <f t="shared" si="105"/>
        <v>1839.5984927169977</v>
      </c>
      <c r="V86" s="43">
        <f t="shared" si="105"/>
        <v>1931.5784173528477</v>
      </c>
      <c r="W86" s="43">
        <f t="shared" si="105"/>
        <v>2028.1573382204901</v>
      </c>
      <c r="X86" s="43">
        <f t="shared" si="105"/>
        <v>2129.5652051315146</v>
      </c>
      <c r="Y86" s="43">
        <f t="shared" si="105"/>
        <v>2236.0434653880907</v>
      </c>
      <c r="Z86" s="43">
        <f t="shared" si="105"/>
        <v>2347.8456386574953</v>
      </c>
      <c r="AA86" s="43">
        <f t="shared" si="105"/>
        <v>2465.2379205903703</v>
      </c>
    </row>
    <row r="87" spans="1:27" ht="10.5" customHeight="1">
      <c r="A87" s="92">
        <v>49</v>
      </c>
      <c r="B87" s="126" t="s">
        <v>71</v>
      </c>
      <c r="C87" s="155">
        <f aca="true" t="shared" si="107" ref="C87:L87">C85+C86</f>
        <v>2306.367714240769</v>
      </c>
      <c r="D87" s="86">
        <f t="shared" si="107"/>
        <v>2379.1412570889206</v>
      </c>
      <c r="E87" s="86">
        <f t="shared" si="107"/>
        <v>3033.969508506705</v>
      </c>
      <c r="F87" s="86">
        <f t="shared" si="107"/>
        <v>3234.7634102080474</v>
      </c>
      <c r="G87" s="86">
        <f t="shared" si="107"/>
        <v>3208.216092249656</v>
      </c>
      <c r="H87" s="86">
        <f t="shared" si="107"/>
        <v>3231.3593106995886</v>
      </c>
      <c r="I87" s="86">
        <f t="shared" si="107"/>
        <v>3441.131172839507</v>
      </c>
      <c r="J87" s="86">
        <f t="shared" si="107"/>
        <v>3562.957407407406</v>
      </c>
      <c r="K87" s="86">
        <f t="shared" si="107"/>
        <v>3704.028888888891</v>
      </c>
      <c r="L87" s="86">
        <f t="shared" si="107"/>
        <v>3872.8136666666674</v>
      </c>
      <c r="M87" s="156">
        <f aca="true" t="shared" si="108" ref="M87:AA87">M85+M86</f>
        <v>4066.454350000001</v>
      </c>
      <c r="N87" s="155">
        <f t="shared" si="108"/>
        <v>4269.777067499999</v>
      </c>
      <c r="O87" s="86">
        <f t="shared" si="108"/>
        <v>4483.2659208749965</v>
      </c>
      <c r="P87" s="86">
        <f t="shared" si="108"/>
        <v>4707.429216918749</v>
      </c>
      <c r="Q87" s="86">
        <f t="shared" si="108"/>
        <v>4942.800677764686</v>
      </c>
      <c r="R87" s="87">
        <f t="shared" si="108"/>
        <v>5189.94071165292</v>
      </c>
      <c r="S87" s="87">
        <f t="shared" si="108"/>
        <v>5449.437747235566</v>
      </c>
      <c r="T87" s="87">
        <f t="shared" si="108"/>
        <v>5721.909634597345</v>
      </c>
      <c r="U87" s="87">
        <f t="shared" si="108"/>
        <v>6008.005116327212</v>
      </c>
      <c r="V87" s="87">
        <f t="shared" si="108"/>
        <v>6308.405372143574</v>
      </c>
      <c r="W87" s="87">
        <f t="shared" si="108"/>
        <v>6623.825640750752</v>
      </c>
      <c r="X87" s="87">
        <f t="shared" si="108"/>
        <v>6955.01692278829</v>
      </c>
      <c r="Y87" s="87">
        <f t="shared" si="108"/>
        <v>7302.767768927704</v>
      </c>
      <c r="Z87" s="87">
        <f t="shared" si="108"/>
        <v>7667.90615737409</v>
      </c>
      <c r="AA87" s="87">
        <f t="shared" si="108"/>
        <v>8051.3014652427955</v>
      </c>
    </row>
    <row r="88" spans="1:27" ht="10.5" customHeight="1" hidden="1">
      <c r="A88" s="92"/>
      <c r="B88" s="126"/>
      <c r="C88" s="155"/>
      <c r="D88" s="86">
        <f aca="true" t="shared" si="109" ref="D88:M88">C87*(1+C81)-D83</f>
        <v>2379.1412570889233</v>
      </c>
      <c r="E88" s="86">
        <f t="shared" si="109"/>
        <v>3033.9695085067046</v>
      </c>
      <c r="F88" s="86">
        <f t="shared" si="109"/>
        <v>3234.763410208046</v>
      </c>
      <c r="G88" s="86">
        <f t="shared" si="109"/>
        <v>3208.216092249657</v>
      </c>
      <c r="H88" s="86">
        <f t="shared" si="109"/>
        <v>3231.3593106995877</v>
      </c>
      <c r="I88" s="86">
        <f t="shared" si="109"/>
        <v>3441.1311728395067</v>
      </c>
      <c r="J88" s="86">
        <f t="shared" si="109"/>
        <v>3562.9574074074085</v>
      </c>
      <c r="K88" s="86">
        <f t="shared" si="109"/>
        <v>3704.028888888887</v>
      </c>
      <c r="L88" s="86">
        <f t="shared" si="109"/>
        <v>3872.8136666666683</v>
      </c>
      <c r="M88" s="156">
        <f t="shared" si="109"/>
        <v>4066.4543500000004</v>
      </c>
      <c r="N88" s="155">
        <f aca="true" t="shared" si="110" ref="N88:Z88">M87*(1+M81)-N83</f>
        <v>4269.7770675</v>
      </c>
      <c r="O88" s="86">
        <f t="shared" si="110"/>
        <v>4483.265920875001</v>
      </c>
      <c r="P88" s="86">
        <f t="shared" si="110"/>
        <v>4707.429216918746</v>
      </c>
      <c r="Q88" s="86">
        <f t="shared" si="110"/>
        <v>4942.800677764687</v>
      </c>
      <c r="R88" s="87">
        <f t="shared" si="110"/>
        <v>5189.940711652921</v>
      </c>
      <c r="S88" s="87">
        <f t="shared" si="110"/>
        <v>5449.437747235565</v>
      </c>
      <c r="T88" s="87">
        <f t="shared" si="110"/>
        <v>5721.909634597345</v>
      </c>
      <c r="U88" s="87">
        <f t="shared" si="110"/>
        <v>6008.005116327213</v>
      </c>
      <c r="V88" s="87">
        <f t="shared" si="110"/>
        <v>6308.405372143571</v>
      </c>
      <c r="W88" s="87">
        <f t="shared" si="110"/>
        <v>6623.8256407507515</v>
      </c>
      <c r="X88" s="87">
        <f t="shared" si="110"/>
        <v>6955.016922788289</v>
      </c>
      <c r="Y88" s="87">
        <f t="shared" si="110"/>
        <v>7302.767768927703</v>
      </c>
      <c r="Z88" s="87">
        <f t="shared" si="110"/>
        <v>7667.906157374092</v>
      </c>
      <c r="AA88" s="87"/>
    </row>
    <row r="89" spans="1:27" s="137" customFormat="1" ht="10.5" customHeight="1" thickBot="1">
      <c r="A89" s="138">
        <v>50</v>
      </c>
      <c r="B89" s="139" t="s">
        <v>72</v>
      </c>
      <c r="C89" s="140">
        <f aca="true" t="shared" si="111" ref="C89:AA89">C87-C62</f>
        <v>506.36771424076846</v>
      </c>
      <c r="D89" s="141">
        <f t="shared" si="111"/>
        <v>579.1412570889199</v>
      </c>
      <c r="E89" s="141">
        <f t="shared" si="111"/>
        <v>733.9695085067046</v>
      </c>
      <c r="F89" s="141">
        <f t="shared" si="111"/>
        <v>934.7634102080469</v>
      </c>
      <c r="G89" s="141">
        <f t="shared" si="111"/>
        <v>1158.216092249656</v>
      </c>
      <c r="H89" s="141">
        <f t="shared" si="111"/>
        <v>1431.3593106995881</v>
      </c>
      <c r="I89" s="141">
        <f t="shared" si="111"/>
        <v>1741.1311728395071</v>
      </c>
      <c r="J89" s="141">
        <f t="shared" si="111"/>
        <v>2112.9574074074058</v>
      </c>
      <c r="K89" s="141">
        <f t="shared" si="111"/>
        <v>2504.028888888891</v>
      </c>
      <c r="L89" s="141">
        <f t="shared" si="111"/>
        <v>2872.813666666667</v>
      </c>
      <c r="M89" s="142">
        <f t="shared" si="111"/>
        <v>3016.454350000001</v>
      </c>
      <c r="N89" s="140">
        <f t="shared" si="111"/>
        <v>3167.277067499999</v>
      </c>
      <c r="O89" s="141">
        <f t="shared" si="111"/>
        <v>3325.640920874996</v>
      </c>
      <c r="P89" s="141">
        <f t="shared" si="111"/>
        <v>3491.922966918749</v>
      </c>
      <c r="Q89" s="141">
        <f t="shared" si="111"/>
        <v>3666.5191152646858</v>
      </c>
      <c r="R89" s="143">
        <f t="shared" si="111"/>
        <v>3849.8450710279194</v>
      </c>
      <c r="S89" s="143">
        <f t="shared" si="111"/>
        <v>4042.3373245793155</v>
      </c>
      <c r="T89" s="143">
        <f t="shared" si="111"/>
        <v>4244.454190808281</v>
      </c>
      <c r="U89" s="143">
        <f t="shared" si="111"/>
        <v>4456.676900348695</v>
      </c>
      <c r="V89" s="143">
        <f t="shared" si="111"/>
        <v>4679.510745366131</v>
      </c>
      <c r="W89" s="143">
        <f t="shared" si="111"/>
        <v>4913.486282634438</v>
      </c>
      <c r="X89" s="143">
        <f t="shared" si="111"/>
        <v>5159.16059676616</v>
      </c>
      <c r="Y89" s="143">
        <f t="shared" si="111"/>
        <v>5417.118626604468</v>
      </c>
      <c r="Z89" s="143">
        <f t="shared" si="111"/>
        <v>5687.974557934691</v>
      </c>
      <c r="AA89" s="143">
        <f t="shared" si="111"/>
        <v>5972.373285831427</v>
      </c>
    </row>
    <row r="90" spans="1:27" ht="10.5" customHeight="1" hidden="1">
      <c r="A90" s="92">
        <v>62</v>
      </c>
      <c r="B90" s="157" t="s">
        <v>73</v>
      </c>
      <c r="C90" s="158"/>
      <c r="D90" s="27">
        <f aca="true" t="shared" si="112" ref="D90:M90">D89/C89-1</f>
        <v>0.14371679078565625</v>
      </c>
      <c r="E90" s="27">
        <f t="shared" si="112"/>
        <v>0.26734108392835965</v>
      </c>
      <c r="F90" s="27">
        <f t="shared" si="112"/>
        <v>0.27357253860567976</v>
      </c>
      <c r="G90" s="25">
        <f t="shared" si="112"/>
        <v>0.23904731357839082</v>
      </c>
      <c r="H90" s="25">
        <f t="shared" si="112"/>
        <v>0.23583096477220722</v>
      </c>
      <c r="I90" s="25">
        <f t="shared" si="112"/>
        <v>0.216417960063791</v>
      </c>
      <c r="J90" s="25">
        <f t="shared" si="112"/>
        <v>0.21355440668006032</v>
      </c>
      <c r="K90" s="25">
        <f t="shared" si="112"/>
        <v>0.1850825199365136</v>
      </c>
      <c r="L90" s="25">
        <f t="shared" si="112"/>
        <v>0.14727656674177436</v>
      </c>
      <c r="M90" s="159">
        <f t="shared" si="112"/>
        <v>0.050000000000000266</v>
      </c>
      <c r="N90" s="160">
        <f aca="true" t="shared" si="113" ref="N90:AA90">N89/M89-1</f>
        <v>0.04999999999999938</v>
      </c>
      <c r="O90" s="27">
        <f t="shared" si="113"/>
        <v>0.049999999999999156</v>
      </c>
      <c r="P90" s="27">
        <f t="shared" si="113"/>
        <v>0.05000000000000093</v>
      </c>
      <c r="Q90" s="27">
        <f t="shared" si="113"/>
        <v>0.04999999999999982</v>
      </c>
      <c r="R90" s="21">
        <f t="shared" si="113"/>
        <v>0.04999999999999982</v>
      </c>
      <c r="S90" s="21">
        <f t="shared" si="113"/>
        <v>0.050000000000000044</v>
      </c>
      <c r="T90" s="21">
        <f t="shared" si="113"/>
        <v>0.050000000000000044</v>
      </c>
      <c r="U90" s="21">
        <f t="shared" si="113"/>
        <v>0.050000000000000044</v>
      </c>
      <c r="V90" s="21">
        <f t="shared" si="113"/>
        <v>0.050000000000000266</v>
      </c>
      <c r="W90" s="21">
        <f t="shared" si="113"/>
        <v>0.050000000000000044</v>
      </c>
      <c r="X90" s="21">
        <f t="shared" si="113"/>
        <v>0.050000000000000044</v>
      </c>
      <c r="Y90" s="21">
        <f t="shared" si="113"/>
        <v>0.050000000000000044</v>
      </c>
      <c r="Z90" s="21">
        <f t="shared" si="113"/>
        <v>0.04999999999999982</v>
      </c>
      <c r="AA90" s="21">
        <f t="shared" si="113"/>
        <v>0.050000000000000266</v>
      </c>
    </row>
    <row r="91" spans="1:27" ht="10.5" customHeight="1" hidden="1">
      <c r="A91" s="92"/>
      <c r="B91" s="102"/>
      <c r="C91" s="110"/>
      <c r="D91" s="51"/>
      <c r="E91" s="51"/>
      <c r="F91" s="51"/>
      <c r="G91" s="51"/>
      <c r="H91" s="51"/>
      <c r="I91" s="51"/>
      <c r="J91" s="51"/>
      <c r="K91" s="51"/>
      <c r="L91" s="51"/>
      <c r="M91" s="111"/>
      <c r="N91" s="110"/>
      <c r="O91" s="51"/>
      <c r="P91" s="51"/>
      <c r="Q91" s="51"/>
      <c r="R91" s="73"/>
      <c r="S91" s="73"/>
      <c r="T91" s="73"/>
      <c r="U91" s="73"/>
      <c r="V91" s="73"/>
      <c r="W91" s="73"/>
      <c r="X91" s="73"/>
      <c r="Y91" s="73"/>
      <c r="Z91" s="73"/>
      <c r="AA91" s="73"/>
    </row>
    <row r="92" spans="1:27" s="3" customFormat="1" ht="12" customHeight="1">
      <c r="A92" s="92">
        <v>51</v>
      </c>
      <c r="B92" s="93" t="s">
        <v>74</v>
      </c>
      <c r="C92" s="82">
        <f aca="true" t="shared" si="114" ref="C92:P92">(C62*C64+C71*C73)/(C71+C62)</f>
        <v>0.18634216052995284</v>
      </c>
      <c r="D92" s="26">
        <f t="shared" si="114"/>
        <v>0.1867599286481446</v>
      </c>
      <c r="E92" s="26">
        <f t="shared" si="114"/>
        <v>0.18673355157751373</v>
      </c>
      <c r="F92" s="26">
        <f t="shared" si="114"/>
        <v>0.18755704980680138</v>
      </c>
      <c r="G92" s="26">
        <f t="shared" si="114"/>
        <v>0.18881777318969686</v>
      </c>
      <c r="H92" s="26">
        <f t="shared" si="114"/>
        <v>0.19025178045174423</v>
      </c>
      <c r="I92" s="26">
        <f t="shared" si="114"/>
        <v>0.19135458705125402</v>
      </c>
      <c r="J92" s="26">
        <f t="shared" si="114"/>
        <v>0.1928781073982963</v>
      </c>
      <c r="K92" s="26">
        <f t="shared" si="114"/>
        <v>0.19433049778229472</v>
      </c>
      <c r="L92" s="26">
        <f t="shared" si="114"/>
        <v>0.19548132146128727</v>
      </c>
      <c r="M92" s="83">
        <f t="shared" si="114"/>
        <v>0.19548132146128727</v>
      </c>
      <c r="N92" s="82">
        <f t="shared" si="114"/>
        <v>0.19548132146128724</v>
      </c>
      <c r="O92" s="26">
        <f t="shared" si="114"/>
        <v>0.19548132146128722</v>
      </c>
      <c r="P92" s="26">
        <f t="shared" si="114"/>
        <v>0.19548132146128744</v>
      </c>
      <c r="Q92" s="26">
        <f aca="true" t="shared" si="115" ref="Q92:AA92">P92</f>
        <v>0.19548132146128744</v>
      </c>
      <c r="R92" s="26">
        <f t="shared" si="115"/>
        <v>0.19548132146128744</v>
      </c>
      <c r="S92" s="26">
        <f t="shared" si="115"/>
        <v>0.19548132146128744</v>
      </c>
      <c r="T92" s="26">
        <f t="shared" si="115"/>
        <v>0.19548132146128744</v>
      </c>
      <c r="U92" s="26">
        <f t="shared" si="115"/>
        <v>0.19548132146128744</v>
      </c>
      <c r="V92" s="26">
        <f t="shared" si="115"/>
        <v>0.19548132146128744</v>
      </c>
      <c r="W92" s="26">
        <f t="shared" si="115"/>
        <v>0.19548132146128744</v>
      </c>
      <c r="X92" s="26">
        <f t="shared" si="115"/>
        <v>0.19548132146128744</v>
      </c>
      <c r="Y92" s="26">
        <f t="shared" si="115"/>
        <v>0.19548132146128744</v>
      </c>
      <c r="Z92" s="26">
        <f t="shared" si="115"/>
        <v>0.19548132146128744</v>
      </c>
      <c r="AA92" s="26">
        <f t="shared" si="115"/>
        <v>0.19548132146128744</v>
      </c>
    </row>
    <row r="93" spans="1:27" ht="10.5" customHeight="1" hidden="1">
      <c r="A93" s="92"/>
      <c r="B93" s="105" t="s">
        <v>69</v>
      </c>
      <c r="C93" s="106">
        <v>1</v>
      </c>
      <c r="D93" s="67">
        <f>1/(1+C92)</f>
        <v>0.8429271362599878</v>
      </c>
      <c r="E93" s="67">
        <f aca="true" t="shared" si="116" ref="E93:T93">D93/(1+D92)</f>
        <v>0.7102760346990974</v>
      </c>
      <c r="F93" s="67">
        <f t="shared" si="116"/>
        <v>0.5985134858241213</v>
      </c>
      <c r="G93" s="67">
        <f t="shared" si="116"/>
        <v>0.5039871439620446</v>
      </c>
      <c r="H93" s="67">
        <f t="shared" si="116"/>
        <v>0.42393977893668694</v>
      </c>
      <c r="I93" s="67">
        <f t="shared" si="116"/>
        <v>0.3561765551619559</v>
      </c>
      <c r="J93" s="67">
        <f t="shared" si="116"/>
        <v>0.29896771207599554</v>
      </c>
      <c r="K93" s="67">
        <f t="shared" si="116"/>
        <v>0.25062721012463984</v>
      </c>
      <c r="L93" s="67">
        <f t="shared" si="116"/>
        <v>0.20984745059262877</v>
      </c>
      <c r="M93" s="154">
        <f t="shared" si="116"/>
        <v>0.17553385973117785</v>
      </c>
      <c r="N93" s="106">
        <f t="shared" si="116"/>
        <v>0.14683111862978787</v>
      </c>
      <c r="O93" s="67">
        <f t="shared" si="116"/>
        <v>0.12282175889650038</v>
      </c>
      <c r="P93" s="67">
        <f t="shared" si="116"/>
        <v>0.10273833366661904</v>
      </c>
      <c r="Q93" s="67">
        <f t="shared" si="116"/>
        <v>0.08593888655745589</v>
      </c>
      <c r="R93" s="67">
        <f t="shared" si="116"/>
        <v>0.07188643186194592</v>
      </c>
      <c r="S93" s="68">
        <f t="shared" si="116"/>
        <v>0.06013179007604744</v>
      </c>
      <c r="T93" s="68">
        <f t="shared" si="116"/>
        <v>0.050299230106369046</v>
      </c>
      <c r="U93" s="68">
        <f aca="true" t="shared" si="117" ref="U93:AA93">T93/(1+T92)</f>
        <v>0.04207445921855656</v>
      </c>
      <c r="V93" s="68">
        <f t="shared" si="117"/>
        <v>0.035194576831302705</v>
      </c>
      <c r="W93" s="68">
        <f t="shared" si="117"/>
        <v>0.029439671034159603</v>
      </c>
      <c r="X93" s="68">
        <f t="shared" si="117"/>
        <v>0.02462578921615793</v>
      </c>
      <c r="Y93" s="68">
        <f t="shared" si="117"/>
        <v>0.020599058114983165</v>
      </c>
      <c r="Z93" s="68">
        <f t="shared" si="117"/>
        <v>0.017230765337097918</v>
      </c>
      <c r="AA93" s="68">
        <f t="shared" si="117"/>
        <v>0.014413245132124712</v>
      </c>
    </row>
    <row r="94" spans="1:27" ht="10.5" customHeight="1" hidden="1">
      <c r="A94" s="84">
        <v>28</v>
      </c>
      <c r="B94" s="126" t="s">
        <v>75</v>
      </c>
      <c r="C94" s="144"/>
      <c r="D94" s="150">
        <f aca="true" t="shared" si="118" ref="D94:AA94">C39+C28-C36</f>
        <v>357</v>
      </c>
      <c r="E94" s="150">
        <f t="shared" si="118"/>
        <v>-210.5</v>
      </c>
      <c r="F94" s="150">
        <f t="shared" si="118"/>
        <v>365.75</v>
      </c>
      <c r="G94" s="150">
        <f t="shared" si="118"/>
        <v>633.25</v>
      </c>
      <c r="H94" s="150">
        <f t="shared" si="118"/>
        <v>582.625</v>
      </c>
      <c r="I94" s="150">
        <f t="shared" si="118"/>
        <v>405</v>
      </c>
      <c r="J94" s="150">
        <f t="shared" si="118"/>
        <v>536.65</v>
      </c>
      <c r="K94" s="150">
        <f t="shared" si="118"/>
        <v>546.1450000000002</v>
      </c>
      <c r="L94" s="150">
        <f t="shared" si="118"/>
        <v>551.0210000000002</v>
      </c>
      <c r="M94" s="151">
        <f t="shared" si="118"/>
        <v>563.4220500000006</v>
      </c>
      <c r="N94" s="149">
        <f t="shared" si="118"/>
        <v>591.5931525000008</v>
      </c>
      <c r="O94" s="150">
        <f t="shared" si="118"/>
        <v>621.172810124999</v>
      </c>
      <c r="P94" s="150">
        <f t="shared" si="118"/>
        <v>652.2314506312498</v>
      </c>
      <c r="Q94" s="150">
        <f t="shared" si="118"/>
        <v>684.8430231628133</v>
      </c>
      <c r="R94" s="150">
        <f t="shared" si="118"/>
        <v>719.0851743209528</v>
      </c>
      <c r="S94" s="150">
        <f t="shared" si="118"/>
        <v>755.0394330370012</v>
      </c>
      <c r="T94" s="150">
        <f t="shared" si="118"/>
        <v>792.7914046888513</v>
      </c>
      <c r="U94" s="150">
        <f t="shared" si="118"/>
        <v>832.4309749232928</v>
      </c>
      <c r="V94" s="150">
        <f t="shared" si="118"/>
        <v>874.0525236694598</v>
      </c>
      <c r="W94" s="150">
        <f t="shared" si="118"/>
        <v>917.7551498529322</v>
      </c>
      <c r="X94" s="150">
        <f t="shared" si="118"/>
        <v>963.6429073455788</v>
      </c>
      <c r="Y94" s="150">
        <f t="shared" si="118"/>
        <v>1011.8250527128571</v>
      </c>
      <c r="Z94" s="150">
        <f t="shared" si="118"/>
        <v>1062.4163053484974</v>
      </c>
      <c r="AA94" s="150">
        <f t="shared" si="118"/>
        <v>1115.537120615925</v>
      </c>
    </row>
    <row r="95" spans="1:27" ht="10.5" customHeight="1" hidden="1">
      <c r="A95" s="92"/>
      <c r="B95" s="105" t="s">
        <v>70</v>
      </c>
      <c r="C95" s="110"/>
      <c r="D95" s="51">
        <f aca="true" t="shared" si="119" ref="D95:S95">D94*D93</f>
        <v>300.92498764481564</v>
      </c>
      <c r="E95" s="51">
        <f t="shared" si="119"/>
        <v>-149.51310530416</v>
      </c>
      <c r="F95" s="51">
        <f t="shared" si="119"/>
        <v>218.90630744017238</v>
      </c>
      <c r="G95" s="51">
        <f t="shared" si="119"/>
        <v>319.14985891396475</v>
      </c>
      <c r="H95" s="51">
        <f t="shared" si="119"/>
        <v>246.99791370298723</v>
      </c>
      <c r="I95" s="51">
        <f t="shared" si="119"/>
        <v>144.25150484059213</v>
      </c>
      <c r="J95" s="51">
        <f t="shared" si="119"/>
        <v>160.441022685583</v>
      </c>
      <c r="K95" s="51">
        <f t="shared" si="119"/>
        <v>136.8787976735215</v>
      </c>
      <c r="L95" s="51">
        <f t="shared" si="119"/>
        <v>115.63035207300094</v>
      </c>
      <c r="M95" s="111">
        <f t="shared" si="119"/>
        <v>98.89964709415278</v>
      </c>
      <c r="N95" s="110">
        <f t="shared" si="119"/>
        <v>86.8642843552978</v>
      </c>
      <c r="O95" s="51">
        <f t="shared" si="119"/>
        <v>76.29353711823424</v>
      </c>
      <c r="P95" s="51">
        <f t="shared" si="119"/>
        <v>67.0091724028163</v>
      </c>
      <c r="Q95" s="51">
        <f t="shared" si="119"/>
        <v>58.854646877254154</v>
      </c>
      <c r="R95" s="51">
        <f t="shared" si="119"/>
        <v>51.69246738675867</v>
      </c>
      <c r="S95" s="43">
        <f t="shared" si="119"/>
        <v>45.401872686518836</v>
      </c>
      <c r="T95" s="43">
        <f aca="true" t="shared" si="120" ref="T95:AA95">T94*T93</f>
        <v>39.87679729079608</v>
      </c>
      <c r="U95" s="43">
        <f t="shared" si="120"/>
        <v>35.02408310667336</v>
      </c>
      <c r="V95" s="43">
        <f t="shared" si="120"/>
        <v>30.76190869887883</v>
      </c>
      <c r="W95" s="43">
        <f t="shared" si="120"/>
        <v>27.01840970157617</v>
      </c>
      <c r="X95" s="43">
        <f t="shared" si="120"/>
        <v>23.73046711593783</v>
      </c>
      <c r="Y95" s="43">
        <f t="shared" si="120"/>
        <v>20.84264306302805</v>
      </c>
      <c r="Z95" s="43">
        <f t="shared" si="120"/>
        <v>18.306246047766525</v>
      </c>
      <c r="AA95" s="43">
        <f t="shared" si="120"/>
        <v>16.078509973421898</v>
      </c>
    </row>
    <row r="96" spans="1:27" ht="10.5" customHeight="1" hidden="1">
      <c r="A96" s="92"/>
      <c r="B96" s="105" t="s">
        <v>53</v>
      </c>
      <c r="C96" s="110">
        <f>SUM(D95:M95)</f>
        <v>1592.5672867646304</v>
      </c>
      <c r="D96" s="51">
        <f aca="true" t="shared" si="121" ref="D96:Q96">SUM(E95:N95)/D93</f>
        <v>1635.3804785446287</v>
      </c>
      <c r="E96" s="51">
        <f t="shared" si="121"/>
        <v>2258.717945590211</v>
      </c>
      <c r="F96" s="51">
        <f t="shared" si="121"/>
        <v>2426.7057054867373</v>
      </c>
      <c r="G96" s="51">
        <f t="shared" si="121"/>
        <v>2365.3795401440225</v>
      </c>
      <c r="H96" s="51">
        <f t="shared" si="121"/>
        <v>2351.313752645232</v>
      </c>
      <c r="I96" s="51">
        <f t="shared" si="121"/>
        <v>2521.125513005276</v>
      </c>
      <c r="J96" s="51">
        <f t="shared" si="121"/>
        <v>2600.2860628666854</v>
      </c>
      <c r="K96" s="51">
        <f t="shared" si="121"/>
        <v>2695.425050039642</v>
      </c>
      <c r="L96" s="51">
        <f t="shared" si="121"/>
        <v>2814.799109301782</v>
      </c>
      <c r="M96" s="111">
        <f t="shared" si="121"/>
        <v>2955.53906476687</v>
      </c>
      <c r="N96" s="110">
        <f t="shared" si="121"/>
        <v>3103.3160180052137</v>
      </c>
      <c r="O96" s="51">
        <f t="shared" si="121"/>
        <v>3258.4818189054745</v>
      </c>
      <c r="P96" s="51">
        <f t="shared" si="121"/>
        <v>3421.4059098507482</v>
      </c>
      <c r="Q96" s="51">
        <f t="shared" si="121"/>
        <v>3592.4762053432855</v>
      </c>
      <c r="R96" s="51">
        <f>Q96*1.05</f>
        <v>3772.10001561045</v>
      </c>
      <c r="S96" s="43">
        <f>R96*1.05</f>
        <v>3960.7050163909726</v>
      </c>
      <c r="T96" s="43">
        <f aca="true" t="shared" si="122" ref="T96:AA97">S96*1.05</f>
        <v>4158.740267210522</v>
      </c>
      <c r="U96" s="43">
        <f t="shared" si="122"/>
        <v>4366.677280571048</v>
      </c>
      <c r="V96" s="43">
        <f t="shared" si="122"/>
        <v>4585.011144599601</v>
      </c>
      <c r="W96" s="43">
        <f t="shared" si="122"/>
        <v>4814.261701829581</v>
      </c>
      <c r="X96" s="43">
        <f t="shared" si="122"/>
        <v>5054.9747869210605</v>
      </c>
      <c r="Y96" s="43">
        <f t="shared" si="122"/>
        <v>5307.723526267114</v>
      </c>
      <c r="Z96" s="43">
        <f t="shared" si="122"/>
        <v>5573.10970258047</v>
      </c>
      <c r="AA96" s="43">
        <f t="shared" si="122"/>
        <v>5851.765187709494</v>
      </c>
    </row>
    <row r="97" spans="1:27" ht="10.5" customHeight="1" hidden="1">
      <c r="A97" s="92"/>
      <c r="B97" s="105" t="s">
        <v>41</v>
      </c>
      <c r="C97" s="110">
        <f>N94/(N92-$N$5)*M93</f>
        <v>713.8004274761392</v>
      </c>
      <c r="D97" s="51">
        <f aca="true" t="shared" si="123" ref="D97:P97">O94/(O92-$N$5)*N93/D93</f>
        <v>743.7607785442925</v>
      </c>
      <c r="E97" s="51">
        <f t="shared" si="123"/>
        <v>775.251562916494</v>
      </c>
      <c r="F97" s="51">
        <f t="shared" si="123"/>
        <v>808.0577047213098</v>
      </c>
      <c r="G97" s="51">
        <f t="shared" si="123"/>
        <v>842.8365521056328</v>
      </c>
      <c r="H97" s="51">
        <f t="shared" si="123"/>
        <v>880.0455580543553</v>
      </c>
      <c r="I97" s="51">
        <f t="shared" si="123"/>
        <v>920.0056598342289</v>
      </c>
      <c r="J97" s="51">
        <f t="shared" si="123"/>
        <v>962.6713445407197</v>
      </c>
      <c r="K97" s="51">
        <f t="shared" si="123"/>
        <v>1008.6038388492475</v>
      </c>
      <c r="L97" s="51">
        <f t="shared" si="123"/>
        <v>1058.0145573648854</v>
      </c>
      <c r="M97" s="111">
        <f t="shared" si="123"/>
        <v>1110.9152852331297</v>
      </c>
      <c r="N97" s="110">
        <f t="shared" si="123"/>
        <v>1166.4610494947858</v>
      </c>
      <c r="O97" s="51">
        <f t="shared" si="123"/>
        <v>1224.7841019695218</v>
      </c>
      <c r="P97" s="51">
        <f t="shared" si="123"/>
        <v>1286.0233070680003</v>
      </c>
      <c r="Q97" s="51">
        <f>P97*1.05</f>
        <v>1350.3244724214005</v>
      </c>
      <c r="R97" s="51">
        <f>Q97*1.05</f>
        <v>1417.8406960424707</v>
      </c>
      <c r="S97" s="43">
        <f>R97*1.05</f>
        <v>1488.7327308445942</v>
      </c>
      <c r="T97" s="43">
        <f t="shared" si="122"/>
        <v>1563.169367386824</v>
      </c>
      <c r="U97" s="43">
        <f t="shared" si="122"/>
        <v>1641.3278357561653</v>
      </c>
      <c r="V97" s="43">
        <f t="shared" si="122"/>
        <v>1723.3942275439736</v>
      </c>
      <c r="W97" s="43">
        <f t="shared" si="122"/>
        <v>1809.5639389211724</v>
      </c>
      <c r="X97" s="43">
        <f t="shared" si="122"/>
        <v>1900.042135867231</v>
      </c>
      <c r="Y97" s="43">
        <f t="shared" si="122"/>
        <v>1995.0442426605928</v>
      </c>
      <c r="Z97" s="43">
        <f t="shared" si="122"/>
        <v>2094.7964547936226</v>
      </c>
      <c r="AA97" s="43">
        <f t="shared" si="122"/>
        <v>2199.5362775333037</v>
      </c>
    </row>
    <row r="98" spans="1:27" ht="10.5" customHeight="1">
      <c r="A98" s="92">
        <v>52</v>
      </c>
      <c r="B98" s="126" t="s">
        <v>76</v>
      </c>
      <c r="C98" s="155">
        <f aca="true" t="shared" si="124" ref="C98:R98">C96+C97</f>
        <v>2306.3677142407696</v>
      </c>
      <c r="D98" s="86">
        <f t="shared" si="124"/>
        <v>2379.141257088921</v>
      </c>
      <c r="E98" s="86">
        <f t="shared" si="124"/>
        <v>3033.969508506705</v>
      </c>
      <c r="F98" s="86">
        <f t="shared" si="124"/>
        <v>3234.7634102080474</v>
      </c>
      <c r="G98" s="86">
        <f t="shared" si="124"/>
        <v>3208.216092249655</v>
      </c>
      <c r="H98" s="86">
        <f t="shared" si="124"/>
        <v>3231.3593106995872</v>
      </c>
      <c r="I98" s="86">
        <f t="shared" si="124"/>
        <v>3441.131172839505</v>
      </c>
      <c r="J98" s="86">
        <f t="shared" si="124"/>
        <v>3562.9574074074053</v>
      </c>
      <c r="K98" s="86">
        <f t="shared" si="124"/>
        <v>3704.0288888888895</v>
      </c>
      <c r="L98" s="86">
        <f t="shared" si="124"/>
        <v>3872.813666666668</v>
      </c>
      <c r="M98" s="156">
        <f t="shared" si="124"/>
        <v>4066.45435</v>
      </c>
      <c r="N98" s="155">
        <f t="shared" si="124"/>
        <v>4269.777067499999</v>
      </c>
      <c r="O98" s="86">
        <f t="shared" si="124"/>
        <v>4483.2659208749965</v>
      </c>
      <c r="P98" s="86">
        <f t="shared" si="124"/>
        <v>4707.429216918748</v>
      </c>
      <c r="Q98" s="86">
        <f t="shared" si="124"/>
        <v>4942.800677764686</v>
      </c>
      <c r="R98" s="86">
        <f t="shared" si="124"/>
        <v>5189.940711652921</v>
      </c>
      <c r="S98" s="87">
        <f aca="true" t="shared" si="125" ref="S98:AA98">S96+S97</f>
        <v>5449.437747235566</v>
      </c>
      <c r="T98" s="87">
        <f t="shared" si="125"/>
        <v>5721.909634597346</v>
      </c>
      <c r="U98" s="87">
        <f t="shared" si="125"/>
        <v>6008.005116327213</v>
      </c>
      <c r="V98" s="87">
        <f t="shared" si="125"/>
        <v>6308.405372143574</v>
      </c>
      <c r="W98" s="87">
        <f t="shared" si="125"/>
        <v>6623.825640750754</v>
      </c>
      <c r="X98" s="87">
        <f t="shared" si="125"/>
        <v>6955.016922788292</v>
      </c>
      <c r="Y98" s="87">
        <f t="shared" si="125"/>
        <v>7302.767768927706</v>
      </c>
      <c r="Z98" s="87">
        <f t="shared" si="125"/>
        <v>7667.906157374093</v>
      </c>
      <c r="AA98" s="87">
        <f t="shared" si="125"/>
        <v>8051.301465242797</v>
      </c>
    </row>
    <row r="99" spans="1:27" s="137" customFormat="1" ht="10.5" customHeight="1" thickBot="1">
      <c r="A99" s="138">
        <v>53</v>
      </c>
      <c r="B99" s="139" t="s">
        <v>77</v>
      </c>
      <c r="C99" s="140">
        <f aca="true" t="shared" si="126" ref="C99:AA99">C98-C62</f>
        <v>506.3677142407689</v>
      </c>
      <c r="D99" s="141">
        <f t="shared" si="126"/>
        <v>579.1412570889204</v>
      </c>
      <c r="E99" s="141">
        <f t="shared" si="126"/>
        <v>733.9695085067046</v>
      </c>
      <c r="F99" s="141">
        <f t="shared" si="126"/>
        <v>934.7634102080469</v>
      </c>
      <c r="G99" s="141">
        <f t="shared" si="126"/>
        <v>1158.216092249655</v>
      </c>
      <c r="H99" s="141">
        <f t="shared" si="126"/>
        <v>1431.3593106995868</v>
      </c>
      <c r="I99" s="141">
        <f t="shared" si="126"/>
        <v>1741.1311728395049</v>
      </c>
      <c r="J99" s="141">
        <f t="shared" si="126"/>
        <v>2112.957407407405</v>
      </c>
      <c r="K99" s="141">
        <f t="shared" si="126"/>
        <v>2504.028888888889</v>
      </c>
      <c r="L99" s="141">
        <f t="shared" si="126"/>
        <v>2872.813666666667</v>
      </c>
      <c r="M99" s="142">
        <f t="shared" si="126"/>
        <v>3016.45435</v>
      </c>
      <c r="N99" s="140">
        <f t="shared" si="126"/>
        <v>3167.277067499999</v>
      </c>
      <c r="O99" s="141">
        <f t="shared" si="126"/>
        <v>3325.640920874996</v>
      </c>
      <c r="P99" s="141">
        <f t="shared" si="126"/>
        <v>3491.922966918748</v>
      </c>
      <c r="Q99" s="141">
        <f t="shared" si="126"/>
        <v>3666.5191152646858</v>
      </c>
      <c r="R99" s="141">
        <f t="shared" si="126"/>
        <v>3849.8450710279203</v>
      </c>
      <c r="S99" s="141">
        <f t="shared" si="126"/>
        <v>4042.3373245793155</v>
      </c>
      <c r="T99" s="141">
        <f t="shared" si="126"/>
        <v>4244.454190808283</v>
      </c>
      <c r="U99" s="141">
        <f t="shared" si="126"/>
        <v>4456.676900348696</v>
      </c>
      <c r="V99" s="141">
        <f t="shared" si="126"/>
        <v>4679.510745366131</v>
      </c>
      <c r="W99" s="141">
        <f t="shared" si="126"/>
        <v>4913.48628263444</v>
      </c>
      <c r="X99" s="141">
        <f t="shared" si="126"/>
        <v>5159.160596766162</v>
      </c>
      <c r="Y99" s="141">
        <f t="shared" si="126"/>
        <v>5417.11862660447</v>
      </c>
      <c r="Z99" s="141">
        <f t="shared" si="126"/>
        <v>5687.9745579346945</v>
      </c>
      <c r="AA99" s="141">
        <f t="shared" si="126"/>
        <v>5972.373285831429</v>
      </c>
    </row>
    <row r="100" spans="2:27" s="71" customFormat="1" ht="12.75" customHeight="1">
      <c r="B100" s="30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</row>
    <row r="101" s="71" customFormat="1" ht="12" customHeight="1"/>
    <row r="102" spans="2:27" ht="12" customHeight="1" hidden="1">
      <c r="B102" s="20" t="s">
        <v>78</v>
      </c>
      <c r="C102" s="24">
        <v>0</v>
      </c>
      <c r="D102" s="24">
        <v>1</v>
      </c>
      <c r="E102" s="24">
        <f aca="true" t="shared" si="127" ref="E102:N102">D102+1</f>
        <v>2</v>
      </c>
      <c r="F102" s="24">
        <f t="shared" si="127"/>
        <v>3</v>
      </c>
      <c r="G102" s="24">
        <f t="shared" si="127"/>
        <v>4</v>
      </c>
      <c r="H102" s="24">
        <f t="shared" si="127"/>
        <v>5</v>
      </c>
      <c r="I102" s="24">
        <f t="shared" si="127"/>
        <v>6</v>
      </c>
      <c r="J102" s="24">
        <f t="shared" si="127"/>
        <v>7</v>
      </c>
      <c r="K102" s="24">
        <f t="shared" si="127"/>
        <v>8</v>
      </c>
      <c r="L102" s="24">
        <f t="shared" si="127"/>
        <v>9</v>
      </c>
      <c r="M102" s="24">
        <f t="shared" si="127"/>
        <v>10</v>
      </c>
      <c r="N102" s="24">
        <f t="shared" si="127"/>
        <v>11</v>
      </c>
      <c r="O102" s="24">
        <f aca="true" t="shared" si="128" ref="O102:AA102">N102+1</f>
        <v>12</v>
      </c>
      <c r="P102" s="24">
        <f t="shared" si="128"/>
        <v>13</v>
      </c>
      <c r="Q102" s="24">
        <f t="shared" si="128"/>
        <v>14</v>
      </c>
      <c r="R102" s="13">
        <f t="shared" si="128"/>
        <v>15</v>
      </c>
      <c r="S102" s="13">
        <f t="shared" si="128"/>
        <v>16</v>
      </c>
      <c r="T102" s="13">
        <f t="shared" si="128"/>
        <v>17</v>
      </c>
      <c r="U102" s="13">
        <f t="shared" si="128"/>
        <v>18</v>
      </c>
      <c r="V102" s="13">
        <f t="shared" si="128"/>
        <v>19</v>
      </c>
      <c r="W102" s="13">
        <f t="shared" si="128"/>
        <v>20</v>
      </c>
      <c r="X102" s="13">
        <f t="shared" si="128"/>
        <v>21</v>
      </c>
      <c r="Y102" s="13">
        <f t="shared" si="128"/>
        <v>22</v>
      </c>
      <c r="Z102" s="13">
        <f t="shared" si="128"/>
        <v>23</v>
      </c>
      <c r="AA102" s="13">
        <f t="shared" si="128"/>
        <v>24</v>
      </c>
    </row>
    <row r="103" spans="2:27" ht="12" customHeight="1" hidden="1">
      <c r="B103" s="35" t="s">
        <v>23</v>
      </c>
      <c r="C103" s="59"/>
      <c r="D103" s="59">
        <f aca="true" t="shared" si="129" ref="D103:AA103">C28</f>
        <v>270</v>
      </c>
      <c r="E103" s="59">
        <f t="shared" si="129"/>
        <v>270</v>
      </c>
      <c r="F103" s="59">
        <f t="shared" si="129"/>
        <v>345</v>
      </c>
      <c r="G103" s="59">
        <f t="shared" si="129"/>
        <v>345</v>
      </c>
      <c r="H103" s="59">
        <f t="shared" si="129"/>
        <v>307.5</v>
      </c>
      <c r="I103" s="59">
        <f t="shared" si="129"/>
        <v>270</v>
      </c>
      <c r="J103" s="59">
        <f t="shared" si="129"/>
        <v>255</v>
      </c>
      <c r="K103" s="59">
        <f t="shared" si="129"/>
        <v>217.5</v>
      </c>
      <c r="L103" s="59">
        <f t="shared" si="129"/>
        <v>180</v>
      </c>
      <c r="M103" s="59">
        <f t="shared" si="129"/>
        <v>150</v>
      </c>
      <c r="N103" s="59">
        <f t="shared" si="129"/>
        <v>157.5</v>
      </c>
      <c r="O103" s="59">
        <f t="shared" si="129"/>
        <v>165.375</v>
      </c>
      <c r="P103" s="59">
        <f t="shared" si="129"/>
        <v>173.64374999999998</v>
      </c>
      <c r="Q103" s="59">
        <f t="shared" si="129"/>
        <v>182.3259375</v>
      </c>
      <c r="R103" s="35">
        <f t="shared" si="129"/>
        <v>191.44223437500003</v>
      </c>
      <c r="S103" s="35">
        <f t="shared" si="129"/>
        <v>201.01434609375005</v>
      </c>
      <c r="T103" s="35">
        <f t="shared" si="129"/>
        <v>211.06506339843756</v>
      </c>
      <c r="U103" s="35">
        <f t="shared" si="129"/>
        <v>221.61831656835946</v>
      </c>
      <c r="V103" s="35">
        <f t="shared" si="129"/>
        <v>232.69923239677743</v>
      </c>
      <c r="W103" s="35">
        <f t="shared" si="129"/>
        <v>244.33419401661632</v>
      </c>
      <c r="X103" s="35">
        <f t="shared" si="129"/>
        <v>256.5509037174471</v>
      </c>
      <c r="Y103" s="35">
        <f t="shared" si="129"/>
        <v>269.3784489033195</v>
      </c>
      <c r="Z103" s="35">
        <f t="shared" si="129"/>
        <v>282.84737134848547</v>
      </c>
      <c r="AA103" s="35">
        <f t="shared" si="129"/>
        <v>296.98973991590975</v>
      </c>
    </row>
    <row r="104" spans="2:27" ht="12" customHeight="1" hidden="1">
      <c r="B104" s="35" t="s">
        <v>79</v>
      </c>
      <c r="C104" s="59"/>
      <c r="D104" s="59">
        <f aca="true" t="shared" si="130" ref="D104:AA104">C36</f>
        <v>0</v>
      </c>
      <c r="E104" s="59">
        <f t="shared" si="130"/>
        <v>500</v>
      </c>
      <c r="F104" s="59">
        <f t="shared" si="130"/>
        <v>0</v>
      </c>
      <c r="G104" s="59">
        <f t="shared" si="130"/>
        <v>-250</v>
      </c>
      <c r="H104" s="59">
        <f t="shared" si="130"/>
        <v>-250</v>
      </c>
      <c r="I104" s="59">
        <f t="shared" si="130"/>
        <v>-100</v>
      </c>
      <c r="J104" s="59">
        <f t="shared" si="130"/>
        <v>-250</v>
      </c>
      <c r="K104" s="59">
        <f t="shared" si="130"/>
        <v>-250</v>
      </c>
      <c r="L104" s="59">
        <f t="shared" si="130"/>
        <v>-200</v>
      </c>
      <c r="M104" s="59">
        <f t="shared" si="130"/>
        <v>50</v>
      </c>
      <c r="N104" s="59">
        <f t="shared" si="130"/>
        <v>52.5</v>
      </c>
      <c r="O104" s="59">
        <f t="shared" si="130"/>
        <v>55.125</v>
      </c>
      <c r="P104" s="59">
        <f t="shared" si="130"/>
        <v>57.881250000000136</v>
      </c>
      <c r="Q104" s="59">
        <f t="shared" si="130"/>
        <v>60.775312500000155</v>
      </c>
      <c r="R104" s="35">
        <f t="shared" si="130"/>
        <v>63.81407812500015</v>
      </c>
      <c r="S104" s="35">
        <f t="shared" si="130"/>
        <v>67.00478203124999</v>
      </c>
      <c r="T104" s="35">
        <f t="shared" si="130"/>
        <v>70.35502113281268</v>
      </c>
      <c r="U104" s="35">
        <f t="shared" si="130"/>
        <v>73.87277218945314</v>
      </c>
      <c r="V104" s="35">
        <f t="shared" si="130"/>
        <v>77.56641079892597</v>
      </c>
      <c r="W104" s="35">
        <f t="shared" si="130"/>
        <v>81.44473133887209</v>
      </c>
      <c r="X104" s="35">
        <f t="shared" si="130"/>
        <v>85.51696790581582</v>
      </c>
      <c r="Y104" s="35">
        <f t="shared" si="130"/>
        <v>89.79281630110654</v>
      </c>
      <c r="Z104" s="35">
        <f t="shared" si="130"/>
        <v>94.28245711616182</v>
      </c>
      <c r="AA104" s="35">
        <f t="shared" si="130"/>
        <v>98.99657997197005</v>
      </c>
    </row>
    <row r="105" spans="2:27" ht="12" customHeight="1" hidden="1">
      <c r="B105" s="35" t="s">
        <v>80</v>
      </c>
      <c r="C105" s="59"/>
      <c r="D105" s="59">
        <f aca="true" t="shared" si="131" ref="D105:M105">D103-D104</f>
        <v>270</v>
      </c>
      <c r="E105" s="59">
        <f t="shared" si="131"/>
        <v>-230</v>
      </c>
      <c r="F105" s="59">
        <f t="shared" si="131"/>
        <v>345</v>
      </c>
      <c r="G105" s="59">
        <f t="shared" si="131"/>
        <v>595</v>
      </c>
      <c r="H105" s="59">
        <f t="shared" si="131"/>
        <v>557.5</v>
      </c>
      <c r="I105" s="59">
        <f t="shared" si="131"/>
        <v>370</v>
      </c>
      <c r="J105" s="59">
        <f t="shared" si="131"/>
        <v>505</v>
      </c>
      <c r="K105" s="59">
        <f t="shared" si="131"/>
        <v>467.5</v>
      </c>
      <c r="L105" s="59">
        <f t="shared" si="131"/>
        <v>380</v>
      </c>
      <c r="M105" s="59">
        <f t="shared" si="131"/>
        <v>100</v>
      </c>
      <c r="N105" s="59">
        <f aca="true" t="shared" si="132" ref="N105:AA105">N103-N104</f>
        <v>105</v>
      </c>
      <c r="O105" s="59">
        <f t="shared" si="132"/>
        <v>110.25</v>
      </c>
      <c r="P105" s="59">
        <f t="shared" si="132"/>
        <v>115.76249999999985</v>
      </c>
      <c r="Q105" s="59">
        <f t="shared" si="132"/>
        <v>121.55062499999985</v>
      </c>
      <c r="R105" s="35">
        <f t="shared" si="132"/>
        <v>127.62815624999988</v>
      </c>
      <c r="S105" s="35">
        <f t="shared" si="132"/>
        <v>134.00956406250006</v>
      </c>
      <c r="T105" s="35">
        <f t="shared" si="132"/>
        <v>140.71004226562488</v>
      </c>
      <c r="U105" s="35">
        <f t="shared" si="132"/>
        <v>147.74554437890632</v>
      </c>
      <c r="V105" s="35">
        <f t="shared" si="132"/>
        <v>155.13282159785146</v>
      </c>
      <c r="W105" s="35">
        <f t="shared" si="132"/>
        <v>162.88946267774423</v>
      </c>
      <c r="X105" s="35">
        <f t="shared" si="132"/>
        <v>171.0339358116313</v>
      </c>
      <c r="Y105" s="35">
        <f t="shared" si="132"/>
        <v>179.58563260221297</v>
      </c>
      <c r="Z105" s="35">
        <f t="shared" si="132"/>
        <v>188.56491423232364</v>
      </c>
      <c r="AA105" s="35">
        <f t="shared" si="132"/>
        <v>197.9931599439397</v>
      </c>
    </row>
    <row r="106" spans="2:27" ht="12" customHeight="1" hidden="1">
      <c r="B106" s="2" t="s">
        <v>81</v>
      </c>
      <c r="C106" s="28"/>
      <c r="D106" s="28"/>
      <c r="E106" s="27">
        <f aca="true" t="shared" si="133" ref="E106:N106">E105/D105-1</f>
        <v>-1.8518518518518519</v>
      </c>
      <c r="F106" s="27">
        <f t="shared" si="133"/>
        <v>-2.5</v>
      </c>
      <c r="G106" s="27">
        <f t="shared" si="133"/>
        <v>0.7246376811594204</v>
      </c>
      <c r="H106" s="27">
        <f t="shared" si="133"/>
        <v>-0.06302521008403361</v>
      </c>
      <c r="I106" s="27">
        <f t="shared" si="133"/>
        <v>-0.3363228699551569</v>
      </c>
      <c r="J106" s="27">
        <f t="shared" si="133"/>
        <v>0.3648648648648649</v>
      </c>
      <c r="K106" s="27">
        <f t="shared" si="133"/>
        <v>-0.07425742574257421</v>
      </c>
      <c r="L106" s="27">
        <f t="shared" si="133"/>
        <v>-0.1871657754010695</v>
      </c>
      <c r="M106" s="27">
        <f t="shared" si="133"/>
        <v>-0.736842105263158</v>
      </c>
      <c r="N106" s="27">
        <f t="shared" si="133"/>
        <v>0.050000000000000044</v>
      </c>
      <c r="O106" s="27">
        <f aca="true" t="shared" si="134" ref="O106:AA106">O105/N105-1</f>
        <v>0.050000000000000044</v>
      </c>
      <c r="P106" s="27">
        <f t="shared" si="134"/>
        <v>0.04999999999999871</v>
      </c>
      <c r="Q106" s="27">
        <f t="shared" si="134"/>
        <v>0.050000000000000044</v>
      </c>
      <c r="R106" s="21">
        <f t="shared" si="134"/>
        <v>0.050000000000000266</v>
      </c>
      <c r="S106" s="21">
        <f t="shared" si="134"/>
        <v>0.0500000000000016</v>
      </c>
      <c r="T106" s="21">
        <f t="shared" si="134"/>
        <v>0.04999999999999871</v>
      </c>
      <c r="U106" s="21">
        <f t="shared" si="134"/>
        <v>0.05000000000000138</v>
      </c>
      <c r="V106" s="21">
        <f t="shared" si="134"/>
        <v>0.049999999999998934</v>
      </c>
      <c r="W106" s="21">
        <f t="shared" si="134"/>
        <v>0.05000000000000138</v>
      </c>
      <c r="X106" s="21">
        <f t="shared" si="134"/>
        <v>0.049999999999999156</v>
      </c>
      <c r="Y106" s="21">
        <f t="shared" si="134"/>
        <v>0.05000000000000071</v>
      </c>
      <c r="Z106" s="21">
        <f t="shared" si="134"/>
        <v>0.050000000000000266</v>
      </c>
      <c r="AA106" s="21">
        <f t="shared" si="134"/>
        <v>0.04999999999999938</v>
      </c>
    </row>
    <row r="107" s="71" customFormat="1" ht="12" customHeight="1" hidden="1">
      <c r="A107" s="175">
        <f>G4</f>
        <v>0.35</v>
      </c>
    </row>
    <row r="108" s="71" customFormat="1" ht="10.5" hidden="1"/>
    <row r="109" s="71" customFormat="1" ht="10.5" hidden="1"/>
    <row r="110" s="71" customFormat="1" ht="10.5"/>
    <row r="111" s="71" customFormat="1" ht="10.5"/>
    <row r="112" s="71" customFormat="1" ht="10.5"/>
    <row r="113" s="71" customFormat="1" ht="10.5"/>
    <row r="114" s="71" customFormat="1" ht="10.5"/>
    <row r="115" s="71" customFormat="1" ht="10.5"/>
    <row r="116" s="71" customFormat="1" ht="10.5"/>
    <row r="117" s="71" customFormat="1" ht="10.5"/>
    <row r="118" s="71" customFormat="1" ht="10.5"/>
    <row r="119" s="71" customFormat="1" ht="10.5"/>
  </sheetData>
  <sheetProtection/>
  <printOptions/>
  <pageMargins left="0.7499999999999608" right="0.39566929133858264" top="1" bottom="1" header="0.5" footer="0.5"/>
  <pageSetup orientation="landscape" paperSize="9"/>
  <rowBreaks count="1" manualBreakCount="1">
    <brk id="44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126"/>
  <sheetViews>
    <sheetView zoomScalePageLayoutView="0" workbookViewId="0" topLeftCell="A1">
      <pane ySplit="3645" topLeftCell="A53" activePane="bottomLeft" state="split"/>
      <selection pane="topLeft" activeCell="A1" sqref="A1"/>
      <selection pane="bottomLeft" activeCell="G76" sqref="G76"/>
    </sheetView>
  </sheetViews>
  <sheetFormatPr defaultColWidth="11.00390625" defaultRowHeight="12"/>
  <cols>
    <col min="1" max="1" width="6.625" style="181" customWidth="1"/>
    <col min="2" max="2" width="23.75390625" style="181" customWidth="1"/>
    <col min="3" max="13" width="10.75390625" style="181" customWidth="1"/>
    <col min="14" max="27" width="12.25390625" style="181" customWidth="1"/>
    <col min="28" max="16384" width="11.00390625" style="181" customWidth="1"/>
  </cols>
  <sheetData>
    <row r="1" spans="1:8" ht="15.75">
      <c r="A1" s="13"/>
      <c r="B1" s="8"/>
      <c r="C1" s="8"/>
      <c r="E1" s="4"/>
      <c r="F1" s="13"/>
      <c r="G1" s="10"/>
      <c r="H1" s="31" t="s">
        <v>86</v>
      </c>
    </row>
    <row r="2" spans="1:7" ht="10.5" hidden="1">
      <c r="A2" s="13"/>
      <c r="B2" s="8"/>
      <c r="C2" s="8"/>
      <c r="D2" s="13"/>
      <c r="E2" s="4"/>
      <c r="F2" s="13"/>
      <c r="G2" s="10"/>
    </row>
    <row r="3" spans="1:7" ht="10.5" hidden="1">
      <c r="A3" s="13"/>
      <c r="B3" s="8"/>
      <c r="C3" s="8"/>
      <c r="D3" s="13"/>
      <c r="E3" s="4"/>
      <c r="F3" s="13"/>
      <c r="G3" s="10"/>
    </row>
    <row r="4" spans="1:7" ht="10.5" hidden="1">
      <c r="A4" s="13" t="s">
        <v>0</v>
      </c>
      <c r="B4" s="8">
        <f>C16</f>
        <v>1800</v>
      </c>
      <c r="C4" s="8"/>
      <c r="D4" s="13" t="s">
        <v>1</v>
      </c>
      <c r="E4" s="4">
        <f>N5</f>
        <v>0.05</v>
      </c>
      <c r="F4" s="13" t="s">
        <v>2</v>
      </c>
      <c r="G4" s="10">
        <v>0.35</v>
      </c>
    </row>
    <row r="5" spans="1:14" ht="12" customHeight="1">
      <c r="A5" s="13"/>
      <c r="B5" s="8"/>
      <c r="C5" s="8"/>
      <c r="D5" s="13"/>
      <c r="E5" s="4"/>
      <c r="F5" s="13"/>
      <c r="G5" s="10"/>
      <c r="H5" s="12" t="s">
        <v>87</v>
      </c>
      <c r="M5" s="34" t="s">
        <v>4</v>
      </c>
      <c r="N5" s="11">
        <v>0.05</v>
      </c>
    </row>
    <row r="6" spans="3:27" ht="12" customHeight="1">
      <c r="C6" s="36">
        <v>0</v>
      </c>
      <c r="D6" s="36">
        <v>1</v>
      </c>
      <c r="E6" s="36">
        <f aca="true" t="shared" si="0" ref="E6:AA6">D6+1</f>
        <v>2</v>
      </c>
      <c r="F6" s="36">
        <f t="shared" si="0"/>
        <v>3</v>
      </c>
      <c r="G6" s="36">
        <f t="shared" si="0"/>
        <v>4</v>
      </c>
      <c r="H6" s="36">
        <f t="shared" si="0"/>
        <v>5</v>
      </c>
      <c r="I6" s="36">
        <f t="shared" si="0"/>
        <v>6</v>
      </c>
      <c r="J6" s="36">
        <f t="shared" si="0"/>
        <v>7</v>
      </c>
      <c r="K6" s="36">
        <f t="shared" si="0"/>
        <v>8</v>
      </c>
      <c r="L6" s="36">
        <f t="shared" si="0"/>
        <v>9</v>
      </c>
      <c r="M6" s="36">
        <f t="shared" si="0"/>
        <v>10</v>
      </c>
      <c r="N6" s="13">
        <f t="shared" si="0"/>
        <v>11</v>
      </c>
      <c r="O6" s="13">
        <f t="shared" si="0"/>
        <v>12</v>
      </c>
      <c r="P6" s="13">
        <f t="shared" si="0"/>
        <v>13</v>
      </c>
      <c r="Q6" s="13">
        <f t="shared" si="0"/>
        <v>14</v>
      </c>
      <c r="R6" s="13">
        <f t="shared" si="0"/>
        <v>15</v>
      </c>
      <c r="S6" s="13">
        <f t="shared" si="0"/>
        <v>16</v>
      </c>
      <c r="T6" s="13">
        <f t="shared" si="0"/>
        <v>17</v>
      </c>
      <c r="U6" s="13">
        <f t="shared" si="0"/>
        <v>18</v>
      </c>
      <c r="V6" s="13">
        <f t="shared" si="0"/>
        <v>19</v>
      </c>
      <c r="W6" s="13">
        <f t="shared" si="0"/>
        <v>20</v>
      </c>
      <c r="X6" s="13">
        <f t="shared" si="0"/>
        <v>21</v>
      </c>
      <c r="Y6" s="13">
        <f t="shared" si="0"/>
        <v>22</v>
      </c>
      <c r="Z6" s="13">
        <f t="shared" si="0"/>
        <v>23</v>
      </c>
      <c r="AA6" s="13">
        <f t="shared" si="0"/>
        <v>24</v>
      </c>
    </row>
    <row r="7" spans="1:27" ht="12" customHeight="1">
      <c r="A7" s="37">
        <v>1</v>
      </c>
      <c r="B7" s="182" t="s">
        <v>5</v>
      </c>
      <c r="C7" s="183">
        <f>C18-C8-C9-C12</f>
        <v>100</v>
      </c>
      <c r="D7" s="184">
        <v>120</v>
      </c>
      <c r="E7" s="184">
        <v>140</v>
      </c>
      <c r="F7" s="184">
        <v>160</v>
      </c>
      <c r="G7" s="184">
        <v>180</v>
      </c>
      <c r="H7" s="184">
        <v>200</v>
      </c>
      <c r="I7" s="185">
        <v>210</v>
      </c>
      <c r="J7" s="185">
        <v>220</v>
      </c>
      <c r="K7" s="186">
        <v>230</v>
      </c>
      <c r="L7" s="186">
        <v>240</v>
      </c>
      <c r="M7" s="186">
        <f aca="true" t="shared" si="1" ref="M7:AA7">L7*(1+$N$5)</f>
        <v>252</v>
      </c>
      <c r="N7" s="187">
        <f t="shared" si="1"/>
        <v>264.6</v>
      </c>
      <c r="O7" s="187">
        <f t="shared" si="1"/>
        <v>277.83000000000004</v>
      </c>
      <c r="P7" s="187">
        <f t="shared" si="1"/>
        <v>291.72150000000005</v>
      </c>
      <c r="Q7" s="187">
        <f t="shared" si="1"/>
        <v>306.30757500000004</v>
      </c>
      <c r="R7" s="187">
        <f t="shared" si="1"/>
        <v>321.6229537500001</v>
      </c>
      <c r="S7" s="187">
        <f t="shared" si="1"/>
        <v>337.70410143750007</v>
      </c>
      <c r="T7" s="187">
        <f t="shared" si="1"/>
        <v>354.5893065093751</v>
      </c>
      <c r="U7" s="187">
        <f t="shared" si="1"/>
        <v>372.31877183484386</v>
      </c>
      <c r="V7" s="187">
        <f t="shared" si="1"/>
        <v>390.9347104265861</v>
      </c>
      <c r="W7" s="187">
        <f t="shared" si="1"/>
        <v>410.4814459479154</v>
      </c>
      <c r="X7" s="187">
        <f t="shared" si="1"/>
        <v>431.0055182453112</v>
      </c>
      <c r="Y7" s="187">
        <f t="shared" si="1"/>
        <v>452.55579415757677</v>
      </c>
      <c r="Z7" s="187">
        <f t="shared" si="1"/>
        <v>475.1835838654556</v>
      </c>
      <c r="AA7" s="187">
        <f t="shared" si="1"/>
        <v>498.9427630587284</v>
      </c>
    </row>
    <row r="8" spans="1:27" ht="12" customHeight="1">
      <c r="A8" s="44">
        <v>2</v>
      </c>
      <c r="B8" s="188" t="s">
        <v>6</v>
      </c>
      <c r="C8" s="189">
        <v>900</v>
      </c>
      <c r="D8" s="190">
        <f aca="true" t="shared" si="2" ref="D8:AA8">0.3*C23</f>
        <v>960</v>
      </c>
      <c r="E8" s="190">
        <f t="shared" si="2"/>
        <v>1020</v>
      </c>
      <c r="F8" s="190">
        <f t="shared" si="2"/>
        <v>1080</v>
      </c>
      <c r="G8" s="190">
        <f t="shared" si="2"/>
        <v>1140</v>
      </c>
      <c r="H8" s="190">
        <f t="shared" si="2"/>
        <v>1200</v>
      </c>
      <c r="I8" s="190">
        <f t="shared" si="2"/>
        <v>1260</v>
      </c>
      <c r="J8" s="190">
        <f t="shared" si="2"/>
        <v>1320</v>
      </c>
      <c r="K8" s="191">
        <f t="shared" si="2"/>
        <v>1380</v>
      </c>
      <c r="L8" s="191">
        <f t="shared" si="2"/>
        <v>1449</v>
      </c>
      <c r="M8" s="191">
        <f t="shared" si="2"/>
        <v>1521.45</v>
      </c>
      <c r="N8" s="192">
        <f t="shared" si="2"/>
        <v>1597.5224999999998</v>
      </c>
      <c r="O8" s="192">
        <f t="shared" si="2"/>
        <v>1677.3986249999998</v>
      </c>
      <c r="P8" s="192">
        <f t="shared" si="2"/>
        <v>1761.26855625</v>
      </c>
      <c r="Q8" s="192">
        <f t="shared" si="2"/>
        <v>1849.3319840625002</v>
      </c>
      <c r="R8" s="192">
        <f t="shared" si="2"/>
        <v>1941.7985832656252</v>
      </c>
      <c r="S8" s="192">
        <f t="shared" si="2"/>
        <v>2038.8885124289068</v>
      </c>
      <c r="T8" s="192">
        <f t="shared" si="2"/>
        <v>2140.832938050352</v>
      </c>
      <c r="U8" s="192">
        <f t="shared" si="2"/>
        <v>2247.87458495287</v>
      </c>
      <c r="V8" s="192">
        <f t="shared" si="2"/>
        <v>2360.2683142005135</v>
      </c>
      <c r="W8" s="192">
        <f t="shared" si="2"/>
        <v>2478.2817299105395</v>
      </c>
      <c r="X8" s="192">
        <f t="shared" si="2"/>
        <v>2602.195816406066</v>
      </c>
      <c r="Y8" s="192">
        <f t="shared" si="2"/>
        <v>2732.30560722637</v>
      </c>
      <c r="Z8" s="192">
        <f t="shared" si="2"/>
        <v>2868.9208875876884</v>
      </c>
      <c r="AA8" s="192">
        <f t="shared" si="2"/>
        <v>3012.366931967073</v>
      </c>
    </row>
    <row r="9" spans="1:27" ht="12" customHeight="1">
      <c r="A9" s="44">
        <v>3</v>
      </c>
      <c r="B9" s="188" t="s">
        <v>7</v>
      </c>
      <c r="C9" s="189">
        <v>300</v>
      </c>
      <c r="D9" s="190">
        <f aca="true" t="shared" si="3" ref="D9:AA9">0.2*C24</f>
        <v>320</v>
      </c>
      <c r="E9" s="190">
        <f t="shared" si="3"/>
        <v>340</v>
      </c>
      <c r="F9" s="190">
        <f t="shared" si="3"/>
        <v>360</v>
      </c>
      <c r="G9" s="190">
        <f t="shared" si="3"/>
        <v>380</v>
      </c>
      <c r="H9" s="190">
        <f t="shared" si="3"/>
        <v>400</v>
      </c>
      <c r="I9" s="190">
        <f t="shared" si="3"/>
        <v>420</v>
      </c>
      <c r="J9" s="190">
        <f t="shared" si="3"/>
        <v>440</v>
      </c>
      <c r="K9" s="191">
        <f t="shared" si="3"/>
        <v>460</v>
      </c>
      <c r="L9" s="191">
        <f t="shared" si="3"/>
        <v>483</v>
      </c>
      <c r="M9" s="191">
        <f t="shared" si="3"/>
        <v>507.15000000000003</v>
      </c>
      <c r="N9" s="192">
        <f t="shared" si="3"/>
        <v>532.5075</v>
      </c>
      <c r="O9" s="192">
        <f t="shared" si="3"/>
        <v>559.132875</v>
      </c>
      <c r="P9" s="192">
        <f t="shared" si="3"/>
        <v>587.08951875</v>
      </c>
      <c r="Q9" s="192">
        <f t="shared" si="3"/>
        <v>616.4439946875001</v>
      </c>
      <c r="R9" s="192">
        <f t="shared" si="3"/>
        <v>647.2661944218752</v>
      </c>
      <c r="S9" s="192">
        <f t="shared" si="3"/>
        <v>679.6295041429689</v>
      </c>
      <c r="T9" s="192">
        <f t="shared" si="3"/>
        <v>713.6109793501174</v>
      </c>
      <c r="U9" s="192">
        <f t="shared" si="3"/>
        <v>749.2915283176234</v>
      </c>
      <c r="V9" s="192">
        <f t="shared" si="3"/>
        <v>786.7561047335046</v>
      </c>
      <c r="W9" s="192">
        <f t="shared" si="3"/>
        <v>826.0939099701799</v>
      </c>
      <c r="X9" s="192">
        <f t="shared" si="3"/>
        <v>867.3986054686889</v>
      </c>
      <c r="Y9" s="192">
        <f t="shared" si="3"/>
        <v>910.7685357421233</v>
      </c>
      <c r="Z9" s="192">
        <f t="shared" si="3"/>
        <v>956.3069625292296</v>
      </c>
      <c r="AA9" s="192">
        <f t="shared" si="3"/>
        <v>1004.1223106556911</v>
      </c>
    </row>
    <row r="10" spans="1:27" ht="12" customHeight="1">
      <c r="A10" s="44">
        <v>4</v>
      </c>
      <c r="B10" s="188" t="s">
        <v>8</v>
      </c>
      <c r="C10" s="193">
        <v>1500</v>
      </c>
      <c r="D10" s="193">
        <v>1800</v>
      </c>
      <c r="E10" s="193">
        <v>2700</v>
      </c>
      <c r="F10" s="193">
        <v>3100</v>
      </c>
      <c r="G10" s="193">
        <v>3300</v>
      </c>
      <c r="H10" s="193">
        <v>3500</v>
      </c>
      <c r="I10" s="193">
        <v>3900</v>
      </c>
      <c r="J10" s="193">
        <f aca="true" t="shared" si="4" ref="J10:AA10">I10+J11-I11</f>
        <v>4204</v>
      </c>
      <c r="K10" s="194">
        <f t="shared" si="4"/>
        <v>4523.2</v>
      </c>
      <c r="L10" s="194">
        <f t="shared" si="4"/>
        <v>4858.36</v>
      </c>
      <c r="M10" s="194">
        <f t="shared" si="4"/>
        <v>5210.277999999999</v>
      </c>
      <c r="N10" s="187">
        <f t="shared" si="4"/>
        <v>5579.791899999998</v>
      </c>
      <c r="O10" s="187">
        <f t="shared" si="4"/>
        <v>5967.781494999999</v>
      </c>
      <c r="P10" s="187">
        <f t="shared" si="4"/>
        <v>6375.170569749999</v>
      </c>
      <c r="Q10" s="187">
        <f t="shared" si="4"/>
        <v>6802.929098237499</v>
      </c>
      <c r="R10" s="187">
        <f t="shared" si="4"/>
        <v>7252.075553149374</v>
      </c>
      <c r="S10" s="187">
        <f t="shared" si="4"/>
        <v>7723.679330806843</v>
      </c>
      <c r="T10" s="187">
        <f t="shared" si="4"/>
        <v>8218.863297347185</v>
      </c>
      <c r="U10" s="187">
        <f t="shared" si="4"/>
        <v>8738.806462214545</v>
      </c>
      <c r="V10" s="187">
        <f t="shared" si="4"/>
        <v>9284.746785325271</v>
      </c>
      <c r="W10" s="187">
        <f t="shared" si="4"/>
        <v>9857.984124591534</v>
      </c>
      <c r="X10" s="187">
        <f t="shared" si="4"/>
        <v>10459.88333082111</v>
      </c>
      <c r="Y10" s="187">
        <f t="shared" si="4"/>
        <v>11091.877497362166</v>
      </c>
      <c r="Z10" s="187">
        <f t="shared" si="4"/>
        <v>11755.471372230277</v>
      </c>
      <c r="AA10" s="187">
        <f t="shared" si="4"/>
        <v>12452.24494084179</v>
      </c>
    </row>
    <row r="11" spans="1:27" ht="12" customHeight="1">
      <c r="A11" s="44">
        <v>5</v>
      </c>
      <c r="B11" s="188" t="s">
        <v>9</v>
      </c>
      <c r="C11" s="189">
        <v>200</v>
      </c>
      <c r="D11" s="193">
        <f aca="true" t="shared" si="5" ref="D11:AA11">C11+C26</f>
        <v>550</v>
      </c>
      <c r="E11" s="193">
        <f t="shared" si="5"/>
        <v>900</v>
      </c>
      <c r="F11" s="193">
        <f t="shared" si="5"/>
        <v>1300</v>
      </c>
      <c r="G11" s="193">
        <f t="shared" si="5"/>
        <v>1800</v>
      </c>
      <c r="H11" s="193">
        <f t="shared" si="5"/>
        <v>2100</v>
      </c>
      <c r="I11" s="193">
        <f t="shared" si="5"/>
        <v>2380</v>
      </c>
      <c r="J11" s="193">
        <f t="shared" si="5"/>
        <v>2684</v>
      </c>
      <c r="K11" s="194">
        <f t="shared" si="5"/>
        <v>3003.2</v>
      </c>
      <c r="L11" s="194">
        <f t="shared" si="5"/>
        <v>3338.3599999999997</v>
      </c>
      <c r="M11" s="194">
        <f t="shared" si="5"/>
        <v>3690.278</v>
      </c>
      <c r="N11" s="187">
        <f t="shared" si="5"/>
        <v>4059.7918999999997</v>
      </c>
      <c r="O11" s="187">
        <f t="shared" si="5"/>
        <v>4447.781495</v>
      </c>
      <c r="P11" s="187">
        <f t="shared" si="5"/>
        <v>4855.17056975</v>
      </c>
      <c r="Q11" s="187">
        <f t="shared" si="5"/>
        <v>5282.9290982375005</v>
      </c>
      <c r="R11" s="187">
        <f t="shared" si="5"/>
        <v>5732.075553149376</v>
      </c>
      <c r="S11" s="187">
        <f t="shared" si="5"/>
        <v>6203.6793308068445</v>
      </c>
      <c r="T11" s="187">
        <f t="shared" si="5"/>
        <v>6698.863297347187</v>
      </c>
      <c r="U11" s="187">
        <f t="shared" si="5"/>
        <v>7218.806462214547</v>
      </c>
      <c r="V11" s="187">
        <f t="shared" si="5"/>
        <v>7764.746785325274</v>
      </c>
      <c r="W11" s="187">
        <f t="shared" si="5"/>
        <v>8337.984124591538</v>
      </c>
      <c r="X11" s="187">
        <f t="shared" si="5"/>
        <v>8939.883330821114</v>
      </c>
      <c r="Y11" s="187">
        <f t="shared" si="5"/>
        <v>9571.87749736217</v>
      </c>
      <c r="Z11" s="187">
        <f t="shared" si="5"/>
        <v>10235.471372230279</v>
      </c>
      <c r="AA11" s="187">
        <f t="shared" si="5"/>
        <v>10932.244940841792</v>
      </c>
    </row>
    <row r="12" spans="1:27" ht="12" customHeight="1">
      <c r="A12" s="44">
        <v>6</v>
      </c>
      <c r="B12" s="188" t="s">
        <v>10</v>
      </c>
      <c r="C12" s="189">
        <f aca="true" t="shared" si="6" ref="C12:AA12">C10-C11</f>
        <v>1300</v>
      </c>
      <c r="D12" s="190">
        <f t="shared" si="6"/>
        <v>1250</v>
      </c>
      <c r="E12" s="190">
        <f t="shared" si="6"/>
        <v>1800</v>
      </c>
      <c r="F12" s="190">
        <f t="shared" si="6"/>
        <v>1800</v>
      </c>
      <c r="G12" s="190">
        <f t="shared" si="6"/>
        <v>1500</v>
      </c>
      <c r="H12" s="190">
        <f t="shared" si="6"/>
        <v>1400</v>
      </c>
      <c r="I12" s="190">
        <f t="shared" si="6"/>
        <v>1520</v>
      </c>
      <c r="J12" s="190">
        <f t="shared" si="6"/>
        <v>1520</v>
      </c>
      <c r="K12" s="191">
        <f t="shared" si="6"/>
        <v>1520</v>
      </c>
      <c r="L12" s="191">
        <f t="shared" si="6"/>
        <v>1520</v>
      </c>
      <c r="M12" s="191">
        <f t="shared" si="6"/>
        <v>1519.9999999999995</v>
      </c>
      <c r="N12" s="192">
        <f t="shared" si="6"/>
        <v>1519.9999999999986</v>
      </c>
      <c r="O12" s="192">
        <f t="shared" si="6"/>
        <v>1519.999999999999</v>
      </c>
      <c r="P12" s="192">
        <f t="shared" si="6"/>
        <v>1519.999999999999</v>
      </c>
      <c r="Q12" s="192">
        <f t="shared" si="6"/>
        <v>1519.9999999999982</v>
      </c>
      <c r="R12" s="192">
        <f t="shared" si="6"/>
        <v>1519.9999999999982</v>
      </c>
      <c r="S12" s="192">
        <f t="shared" si="6"/>
        <v>1519.9999999999982</v>
      </c>
      <c r="T12" s="192">
        <f t="shared" si="6"/>
        <v>1519.9999999999982</v>
      </c>
      <c r="U12" s="192">
        <f t="shared" si="6"/>
        <v>1519.9999999999982</v>
      </c>
      <c r="V12" s="192">
        <f t="shared" si="6"/>
        <v>1519.9999999999973</v>
      </c>
      <c r="W12" s="192">
        <f t="shared" si="6"/>
        <v>1519.9999999999964</v>
      </c>
      <c r="X12" s="192">
        <f t="shared" si="6"/>
        <v>1519.9999999999964</v>
      </c>
      <c r="Y12" s="192">
        <f t="shared" si="6"/>
        <v>1519.9999999999964</v>
      </c>
      <c r="Z12" s="192">
        <f t="shared" si="6"/>
        <v>1519.9999999999982</v>
      </c>
      <c r="AA12" s="192">
        <f t="shared" si="6"/>
        <v>1519.9999999999982</v>
      </c>
    </row>
    <row r="13" spans="1:27" ht="12" customHeight="1">
      <c r="A13" s="52">
        <v>7</v>
      </c>
      <c r="B13" s="53" t="s">
        <v>11</v>
      </c>
      <c r="C13" s="54">
        <f aca="true" t="shared" si="7" ref="C13:AA13">C7+C8+C9+C12</f>
        <v>2600</v>
      </c>
      <c r="D13" s="54">
        <f t="shared" si="7"/>
        <v>2650</v>
      </c>
      <c r="E13" s="54">
        <f t="shared" si="7"/>
        <v>3300</v>
      </c>
      <c r="F13" s="54">
        <f t="shared" si="7"/>
        <v>3400</v>
      </c>
      <c r="G13" s="54">
        <f t="shared" si="7"/>
        <v>3200</v>
      </c>
      <c r="H13" s="54">
        <f t="shared" si="7"/>
        <v>3200</v>
      </c>
      <c r="I13" s="54">
        <f t="shared" si="7"/>
        <v>3410</v>
      </c>
      <c r="J13" s="54">
        <f t="shared" si="7"/>
        <v>3500</v>
      </c>
      <c r="K13" s="164">
        <f t="shared" si="7"/>
        <v>3590</v>
      </c>
      <c r="L13" s="164">
        <f t="shared" si="7"/>
        <v>3692</v>
      </c>
      <c r="M13" s="164">
        <f t="shared" si="7"/>
        <v>3800.5999999999995</v>
      </c>
      <c r="N13" s="16">
        <f t="shared" si="7"/>
        <v>3914.6299999999987</v>
      </c>
      <c r="O13" s="16">
        <f t="shared" si="7"/>
        <v>4034.361499999999</v>
      </c>
      <c r="P13" s="16">
        <f t="shared" si="7"/>
        <v>4160.079575</v>
      </c>
      <c r="Q13" s="16">
        <f t="shared" si="7"/>
        <v>4292.083553749999</v>
      </c>
      <c r="R13" s="16">
        <f t="shared" si="7"/>
        <v>4430.687731437499</v>
      </c>
      <c r="S13" s="16">
        <f t="shared" si="7"/>
        <v>4576.222118009374</v>
      </c>
      <c r="T13" s="16">
        <f t="shared" si="7"/>
        <v>4729.0332239098425</v>
      </c>
      <c r="U13" s="16">
        <f t="shared" si="7"/>
        <v>4889.484885105336</v>
      </c>
      <c r="V13" s="16">
        <f t="shared" si="7"/>
        <v>5057.959129360602</v>
      </c>
      <c r="W13" s="16">
        <f t="shared" si="7"/>
        <v>5234.857085828631</v>
      </c>
      <c r="X13" s="16">
        <f t="shared" si="7"/>
        <v>5420.5999401200625</v>
      </c>
      <c r="Y13" s="16">
        <f t="shared" si="7"/>
        <v>5615.629937126067</v>
      </c>
      <c r="Z13" s="16">
        <f t="shared" si="7"/>
        <v>5820.411433982372</v>
      </c>
      <c r="AA13" s="16">
        <f t="shared" si="7"/>
        <v>6035.43200568149</v>
      </c>
    </row>
    <row r="14" spans="1:27" ht="12" customHeight="1">
      <c r="A14" s="12"/>
      <c r="B14" s="55"/>
      <c r="C14" s="56"/>
      <c r="D14" s="56"/>
      <c r="E14" s="56"/>
      <c r="F14" s="56"/>
      <c r="G14" s="56"/>
      <c r="H14" s="56"/>
      <c r="I14" s="56"/>
      <c r="J14" s="56"/>
      <c r="K14" s="165"/>
      <c r="L14" s="168"/>
      <c r="M14" s="168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2" customHeight="1">
      <c r="A15" s="37">
        <v>8</v>
      </c>
      <c r="B15" s="182" t="s">
        <v>12</v>
      </c>
      <c r="C15" s="183">
        <v>300</v>
      </c>
      <c r="D15" s="184">
        <f aca="true" t="shared" si="8" ref="D15:AA15">0.2*C24</f>
        <v>320</v>
      </c>
      <c r="E15" s="184">
        <f t="shared" si="8"/>
        <v>340</v>
      </c>
      <c r="F15" s="184">
        <f t="shared" si="8"/>
        <v>360</v>
      </c>
      <c r="G15" s="184">
        <f t="shared" si="8"/>
        <v>380</v>
      </c>
      <c r="H15" s="184">
        <f t="shared" si="8"/>
        <v>400</v>
      </c>
      <c r="I15" s="184">
        <f t="shared" si="8"/>
        <v>420</v>
      </c>
      <c r="J15" s="184">
        <f t="shared" si="8"/>
        <v>440</v>
      </c>
      <c r="K15" s="195">
        <f t="shared" si="8"/>
        <v>460</v>
      </c>
      <c r="L15" s="195">
        <f t="shared" si="8"/>
        <v>483</v>
      </c>
      <c r="M15" s="195">
        <f t="shared" si="8"/>
        <v>507.15000000000003</v>
      </c>
      <c r="N15" s="192">
        <f t="shared" si="8"/>
        <v>532.5075</v>
      </c>
      <c r="O15" s="192">
        <f t="shared" si="8"/>
        <v>559.132875</v>
      </c>
      <c r="P15" s="192">
        <f t="shared" si="8"/>
        <v>587.08951875</v>
      </c>
      <c r="Q15" s="192">
        <f t="shared" si="8"/>
        <v>616.4439946875001</v>
      </c>
      <c r="R15" s="192">
        <f t="shared" si="8"/>
        <v>647.2661944218752</v>
      </c>
      <c r="S15" s="192">
        <f t="shared" si="8"/>
        <v>679.6295041429689</v>
      </c>
      <c r="T15" s="192">
        <f t="shared" si="8"/>
        <v>713.6109793501174</v>
      </c>
      <c r="U15" s="192">
        <f t="shared" si="8"/>
        <v>749.2915283176234</v>
      </c>
      <c r="V15" s="192">
        <f t="shared" si="8"/>
        <v>786.7561047335046</v>
      </c>
      <c r="W15" s="192">
        <f t="shared" si="8"/>
        <v>826.0939099701799</v>
      </c>
      <c r="X15" s="192">
        <f t="shared" si="8"/>
        <v>867.3986054686889</v>
      </c>
      <c r="Y15" s="192">
        <f t="shared" si="8"/>
        <v>910.7685357421233</v>
      </c>
      <c r="Z15" s="192">
        <f t="shared" si="8"/>
        <v>956.3069625292296</v>
      </c>
      <c r="AA15" s="192">
        <f t="shared" si="8"/>
        <v>1004.1223106556911</v>
      </c>
    </row>
    <row r="16" spans="1:27" ht="12" customHeight="1">
      <c r="A16" s="44">
        <v>9</v>
      </c>
      <c r="B16" s="188" t="s">
        <v>13</v>
      </c>
      <c r="C16" s="193">
        <v>1800</v>
      </c>
      <c r="D16" s="193">
        <v>1800</v>
      </c>
      <c r="E16" s="193">
        <v>2300</v>
      </c>
      <c r="F16" s="193">
        <v>2300</v>
      </c>
      <c r="G16" s="193">
        <v>2050</v>
      </c>
      <c r="H16" s="193">
        <v>1800</v>
      </c>
      <c r="I16" s="193">
        <v>1700</v>
      </c>
      <c r="J16" s="193">
        <v>1450</v>
      </c>
      <c r="K16" s="194">
        <v>1200</v>
      </c>
      <c r="L16" s="194">
        <v>1000</v>
      </c>
      <c r="M16" s="194">
        <f aca="true" t="shared" si="9" ref="M16:AA16">L16*(1+$N$5)</f>
        <v>1050</v>
      </c>
      <c r="N16" s="187">
        <f t="shared" si="9"/>
        <v>1102.5</v>
      </c>
      <c r="O16" s="187">
        <f t="shared" si="9"/>
        <v>1157.625</v>
      </c>
      <c r="P16" s="187">
        <f t="shared" si="9"/>
        <v>1215.5062500000001</v>
      </c>
      <c r="Q16" s="187">
        <f t="shared" si="9"/>
        <v>1276.2815625000003</v>
      </c>
      <c r="R16" s="187">
        <f t="shared" si="9"/>
        <v>1340.0956406250004</v>
      </c>
      <c r="S16" s="187">
        <f t="shared" si="9"/>
        <v>1407.1004226562504</v>
      </c>
      <c r="T16" s="187">
        <f t="shared" si="9"/>
        <v>1477.455443789063</v>
      </c>
      <c r="U16" s="187">
        <f t="shared" si="9"/>
        <v>1551.3282159785163</v>
      </c>
      <c r="V16" s="187">
        <f t="shared" si="9"/>
        <v>1628.8946267774422</v>
      </c>
      <c r="W16" s="187">
        <f t="shared" si="9"/>
        <v>1710.3393581163143</v>
      </c>
      <c r="X16" s="187">
        <f t="shared" si="9"/>
        <v>1795.8563260221301</v>
      </c>
      <c r="Y16" s="187">
        <f t="shared" si="9"/>
        <v>1885.6491423232367</v>
      </c>
      <c r="Z16" s="187">
        <f t="shared" si="9"/>
        <v>1979.9315994393985</v>
      </c>
      <c r="AA16" s="187">
        <f t="shared" si="9"/>
        <v>2078.9281794113685</v>
      </c>
    </row>
    <row r="17" spans="1:27" ht="12" customHeight="1">
      <c r="A17" s="44">
        <v>10</v>
      </c>
      <c r="B17" s="188" t="s">
        <v>14</v>
      </c>
      <c r="C17" s="189">
        <v>500</v>
      </c>
      <c r="D17" s="190">
        <f aca="true" t="shared" si="10" ref="D17:AA17">C17+C31-C39</f>
        <v>530</v>
      </c>
      <c r="E17" s="190">
        <f t="shared" si="10"/>
        <v>660</v>
      </c>
      <c r="F17" s="190">
        <f t="shared" si="10"/>
        <v>740</v>
      </c>
      <c r="G17" s="190">
        <f t="shared" si="10"/>
        <v>770</v>
      </c>
      <c r="H17" s="190">
        <f t="shared" si="10"/>
        <v>1000</v>
      </c>
      <c r="I17" s="190">
        <f t="shared" si="10"/>
        <v>1290</v>
      </c>
      <c r="J17" s="190">
        <f t="shared" si="10"/>
        <v>1610</v>
      </c>
      <c r="K17" s="191">
        <f t="shared" si="10"/>
        <v>1929.9999999999998</v>
      </c>
      <c r="L17" s="191">
        <f t="shared" si="10"/>
        <v>2208.9999999999995</v>
      </c>
      <c r="M17" s="191">
        <f t="shared" si="10"/>
        <v>2243.449999999999</v>
      </c>
      <c r="N17" s="192">
        <f t="shared" si="10"/>
        <v>2279.6224999999977</v>
      </c>
      <c r="O17" s="192">
        <f t="shared" si="10"/>
        <v>2317.6036249999984</v>
      </c>
      <c r="P17" s="192">
        <f t="shared" si="10"/>
        <v>2357.4838062499985</v>
      </c>
      <c r="Q17" s="192">
        <f t="shared" si="10"/>
        <v>2399.3579965624976</v>
      </c>
      <c r="R17" s="192">
        <f t="shared" si="10"/>
        <v>2443.325896390623</v>
      </c>
      <c r="S17" s="192">
        <f t="shared" si="10"/>
        <v>2489.4921912101536</v>
      </c>
      <c r="T17" s="192">
        <f t="shared" si="10"/>
        <v>2537.966800770661</v>
      </c>
      <c r="U17" s="192">
        <f t="shared" si="10"/>
        <v>2588.8651408091946</v>
      </c>
      <c r="V17" s="192">
        <f t="shared" si="10"/>
        <v>2642.308397849653</v>
      </c>
      <c r="W17" s="192">
        <f t="shared" si="10"/>
        <v>2698.423817742135</v>
      </c>
      <c r="X17" s="192">
        <f t="shared" si="10"/>
        <v>2757.345008629241</v>
      </c>
      <c r="Y17" s="192">
        <f t="shared" si="10"/>
        <v>2819.212259060703</v>
      </c>
      <c r="Z17" s="192">
        <f t="shared" si="10"/>
        <v>2884.1728720137417</v>
      </c>
      <c r="AA17" s="192">
        <f t="shared" si="10"/>
        <v>2952.3815156144283</v>
      </c>
    </row>
    <row r="18" spans="1:27" ht="12" customHeight="1">
      <c r="A18" s="52">
        <v>11</v>
      </c>
      <c r="B18" s="53" t="s">
        <v>15</v>
      </c>
      <c r="C18" s="54">
        <f aca="true" t="shared" si="11" ref="C18:AA18">C15+C16+C17</f>
        <v>2600</v>
      </c>
      <c r="D18" s="54">
        <f t="shared" si="11"/>
        <v>2650</v>
      </c>
      <c r="E18" s="54">
        <f t="shared" si="11"/>
        <v>3300</v>
      </c>
      <c r="F18" s="54">
        <f t="shared" si="11"/>
        <v>3400</v>
      </c>
      <c r="G18" s="54">
        <f t="shared" si="11"/>
        <v>3200</v>
      </c>
      <c r="H18" s="54">
        <f t="shared" si="11"/>
        <v>3200</v>
      </c>
      <c r="I18" s="54">
        <f t="shared" si="11"/>
        <v>3410</v>
      </c>
      <c r="J18" s="54">
        <f t="shared" si="11"/>
        <v>3500</v>
      </c>
      <c r="K18" s="164">
        <f t="shared" si="11"/>
        <v>3590</v>
      </c>
      <c r="L18" s="164">
        <f t="shared" si="11"/>
        <v>3691.9999999999995</v>
      </c>
      <c r="M18" s="164">
        <f t="shared" si="11"/>
        <v>3800.599999999999</v>
      </c>
      <c r="N18" s="16">
        <f t="shared" si="11"/>
        <v>3914.629999999998</v>
      </c>
      <c r="O18" s="16">
        <f t="shared" si="11"/>
        <v>4034.361499999998</v>
      </c>
      <c r="P18" s="16">
        <f t="shared" si="11"/>
        <v>4160.079574999999</v>
      </c>
      <c r="Q18" s="16">
        <f t="shared" si="11"/>
        <v>4292.083553749998</v>
      </c>
      <c r="R18" s="16">
        <f t="shared" si="11"/>
        <v>4430.687731437498</v>
      </c>
      <c r="S18" s="16">
        <f t="shared" si="11"/>
        <v>4576.222118009373</v>
      </c>
      <c r="T18" s="16">
        <f t="shared" si="11"/>
        <v>4729.033223909842</v>
      </c>
      <c r="U18" s="16">
        <f t="shared" si="11"/>
        <v>4889.484885105334</v>
      </c>
      <c r="V18" s="16">
        <f t="shared" si="11"/>
        <v>5057.959129360599</v>
      </c>
      <c r="W18" s="16">
        <f t="shared" si="11"/>
        <v>5234.857085828629</v>
      </c>
      <c r="X18" s="16">
        <f t="shared" si="11"/>
        <v>5420.599940120061</v>
      </c>
      <c r="Y18" s="16">
        <f t="shared" si="11"/>
        <v>5615.629937126063</v>
      </c>
      <c r="Z18" s="16">
        <f t="shared" si="11"/>
        <v>5820.41143398237</v>
      </c>
      <c r="AA18" s="16">
        <f t="shared" si="11"/>
        <v>6035.432005681488</v>
      </c>
    </row>
    <row r="19" spans="1:27" ht="12" customHeight="1">
      <c r="A19" s="14"/>
      <c r="B19" s="6" t="s">
        <v>16</v>
      </c>
      <c r="C19" s="15">
        <f aca="true" t="shared" si="12" ref="C19:AA19">C7+C8+C9-C15</f>
        <v>1000</v>
      </c>
      <c r="D19" s="15">
        <f t="shared" si="12"/>
        <v>1080</v>
      </c>
      <c r="E19" s="15">
        <f t="shared" si="12"/>
        <v>1160</v>
      </c>
      <c r="F19" s="15">
        <f t="shared" si="12"/>
        <v>1240</v>
      </c>
      <c r="G19" s="15">
        <f t="shared" si="12"/>
        <v>1320</v>
      </c>
      <c r="H19" s="15">
        <f t="shared" si="12"/>
        <v>1400</v>
      </c>
      <c r="I19" s="15">
        <f t="shared" si="12"/>
        <v>1470</v>
      </c>
      <c r="J19" s="15">
        <f t="shared" si="12"/>
        <v>1540</v>
      </c>
      <c r="K19" s="167">
        <f t="shared" si="12"/>
        <v>1610</v>
      </c>
      <c r="L19" s="169">
        <f t="shared" si="12"/>
        <v>1689</v>
      </c>
      <c r="M19" s="167">
        <f t="shared" si="12"/>
        <v>1773.4499999999998</v>
      </c>
      <c r="N19" s="16">
        <f t="shared" si="12"/>
        <v>1862.1225</v>
      </c>
      <c r="O19" s="16">
        <f t="shared" si="12"/>
        <v>1955.228625</v>
      </c>
      <c r="P19" s="16">
        <f t="shared" si="12"/>
        <v>2052.99005625</v>
      </c>
      <c r="Q19" s="16">
        <f t="shared" si="12"/>
        <v>2155.6395590625</v>
      </c>
      <c r="R19" s="16">
        <f t="shared" si="12"/>
        <v>2263.4215370156253</v>
      </c>
      <c r="S19" s="16">
        <f t="shared" si="12"/>
        <v>2376.5926138664067</v>
      </c>
      <c r="T19" s="16">
        <f t="shared" si="12"/>
        <v>2495.422244559727</v>
      </c>
      <c r="U19" s="16">
        <f t="shared" si="12"/>
        <v>2620.193356787714</v>
      </c>
      <c r="V19" s="16">
        <f t="shared" si="12"/>
        <v>2751.2030246270997</v>
      </c>
      <c r="W19" s="16">
        <f t="shared" si="12"/>
        <v>2888.763175858455</v>
      </c>
      <c r="X19" s="16">
        <f t="shared" si="12"/>
        <v>3033.2013346513772</v>
      </c>
      <c r="Y19" s="16">
        <f t="shared" si="12"/>
        <v>3184.8614013839465</v>
      </c>
      <c r="Z19" s="16">
        <f t="shared" si="12"/>
        <v>3344.104471453144</v>
      </c>
      <c r="AA19" s="16">
        <f t="shared" si="12"/>
        <v>3511.3096950258014</v>
      </c>
    </row>
    <row r="20" spans="1:27" ht="12" customHeight="1">
      <c r="A20" s="7"/>
      <c r="B20" s="1" t="s">
        <v>17</v>
      </c>
      <c r="C20" s="7"/>
      <c r="D20" s="9">
        <f aca="true" t="shared" si="13" ref="D20:AA20">D19/C19-1</f>
        <v>0.08000000000000007</v>
      </c>
      <c r="E20" s="9">
        <f t="shared" si="13"/>
        <v>0.07407407407407418</v>
      </c>
      <c r="F20" s="9">
        <f t="shared" si="13"/>
        <v>0.06896551724137923</v>
      </c>
      <c r="G20" s="9">
        <f t="shared" si="13"/>
        <v>0.06451612903225801</v>
      </c>
      <c r="H20" s="9">
        <f t="shared" si="13"/>
        <v>0.06060606060606055</v>
      </c>
      <c r="I20" s="9">
        <f t="shared" si="13"/>
        <v>0.050000000000000044</v>
      </c>
      <c r="J20" s="9">
        <f t="shared" si="13"/>
        <v>0.04761904761904767</v>
      </c>
      <c r="K20" s="9">
        <f t="shared" si="13"/>
        <v>0.045454545454545414</v>
      </c>
      <c r="L20" s="19">
        <f t="shared" si="13"/>
        <v>0.04906832298136643</v>
      </c>
      <c r="M20" s="9">
        <f t="shared" si="13"/>
        <v>0.04999999999999982</v>
      </c>
      <c r="N20" s="9">
        <f t="shared" si="13"/>
        <v>0.050000000000000044</v>
      </c>
      <c r="O20" s="9">
        <f t="shared" si="13"/>
        <v>0.050000000000000044</v>
      </c>
      <c r="P20" s="9">
        <f t="shared" si="13"/>
        <v>0.050000000000000044</v>
      </c>
      <c r="Q20" s="9">
        <f t="shared" si="13"/>
        <v>0.050000000000000044</v>
      </c>
      <c r="R20" s="9">
        <f t="shared" si="13"/>
        <v>0.050000000000000044</v>
      </c>
      <c r="S20" s="9">
        <f t="shared" si="13"/>
        <v>0.050000000000000044</v>
      </c>
      <c r="T20" s="9">
        <f t="shared" si="13"/>
        <v>0.050000000000000044</v>
      </c>
      <c r="U20" s="9">
        <f t="shared" si="13"/>
        <v>0.050000000000000266</v>
      </c>
      <c r="V20" s="9">
        <f t="shared" si="13"/>
        <v>0.050000000000000044</v>
      </c>
      <c r="W20" s="9">
        <f t="shared" si="13"/>
        <v>0.050000000000000044</v>
      </c>
      <c r="X20" s="9">
        <f t="shared" si="13"/>
        <v>0.04999999999999982</v>
      </c>
      <c r="Y20" s="9">
        <f t="shared" si="13"/>
        <v>0.050000000000000044</v>
      </c>
      <c r="Z20" s="9">
        <f t="shared" si="13"/>
        <v>0.050000000000000044</v>
      </c>
      <c r="AA20" s="9">
        <f t="shared" si="13"/>
        <v>0.050000000000000044</v>
      </c>
    </row>
    <row r="21" spans="1:27" ht="12" customHeight="1">
      <c r="A21" s="4"/>
      <c r="B21" s="10"/>
      <c r="C21" s="13"/>
      <c r="D21" s="13"/>
      <c r="E21" s="13"/>
      <c r="F21" s="13"/>
      <c r="G21" s="13"/>
      <c r="H21" s="13"/>
      <c r="I21" s="13"/>
      <c r="J21" s="13"/>
      <c r="K21" s="13"/>
      <c r="L21" s="17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3:26" ht="12" customHeight="1">
      <c r="C22" s="57">
        <v>1</v>
      </c>
      <c r="D22" s="57">
        <f aca="true" t="shared" si="14" ref="D22:Z22">C22+1</f>
        <v>2</v>
      </c>
      <c r="E22" s="57">
        <f t="shared" si="14"/>
        <v>3</v>
      </c>
      <c r="F22" s="57">
        <f t="shared" si="14"/>
        <v>4</v>
      </c>
      <c r="G22" s="57">
        <f t="shared" si="14"/>
        <v>5</v>
      </c>
      <c r="H22" s="57">
        <f t="shared" si="14"/>
        <v>6</v>
      </c>
      <c r="I22" s="57">
        <f t="shared" si="14"/>
        <v>7</v>
      </c>
      <c r="J22" s="57">
        <f t="shared" si="14"/>
        <v>8</v>
      </c>
      <c r="K22" s="57">
        <f t="shared" si="14"/>
        <v>9</v>
      </c>
      <c r="L22" s="57">
        <f t="shared" si="14"/>
        <v>10</v>
      </c>
      <c r="M22" s="36">
        <f t="shared" si="14"/>
        <v>11</v>
      </c>
      <c r="N22" s="13">
        <f t="shared" si="14"/>
        <v>12</v>
      </c>
      <c r="O22" s="13">
        <f t="shared" si="14"/>
        <v>13</v>
      </c>
      <c r="P22" s="13">
        <f t="shared" si="14"/>
        <v>14</v>
      </c>
      <c r="Q22" s="13">
        <f t="shared" si="14"/>
        <v>15</v>
      </c>
      <c r="R22" s="13">
        <f t="shared" si="14"/>
        <v>16</v>
      </c>
      <c r="S22" s="13">
        <f t="shared" si="14"/>
        <v>17</v>
      </c>
      <c r="T22" s="13">
        <f t="shared" si="14"/>
        <v>18</v>
      </c>
      <c r="U22" s="13">
        <f t="shared" si="14"/>
        <v>19</v>
      </c>
      <c r="V22" s="13">
        <f t="shared" si="14"/>
        <v>20</v>
      </c>
      <c r="W22" s="13">
        <f t="shared" si="14"/>
        <v>21</v>
      </c>
      <c r="X22" s="13">
        <f t="shared" si="14"/>
        <v>22</v>
      </c>
      <c r="Y22" s="13">
        <f t="shared" si="14"/>
        <v>23</v>
      </c>
      <c r="Z22" s="13">
        <f t="shared" si="14"/>
        <v>24</v>
      </c>
    </row>
    <row r="23" spans="1:26" ht="12" customHeight="1">
      <c r="A23" s="37">
        <v>14</v>
      </c>
      <c r="B23" s="182" t="s">
        <v>18</v>
      </c>
      <c r="C23" s="185">
        <v>3200</v>
      </c>
      <c r="D23" s="185">
        <v>3400</v>
      </c>
      <c r="E23" s="185">
        <v>3600</v>
      </c>
      <c r="F23" s="185">
        <v>3800</v>
      </c>
      <c r="G23" s="196">
        <v>4000</v>
      </c>
      <c r="H23" s="185">
        <v>4200</v>
      </c>
      <c r="I23" s="185">
        <v>4400</v>
      </c>
      <c r="J23" s="185">
        <v>4600</v>
      </c>
      <c r="K23" s="185">
        <f aca="true" t="shared" si="15" ref="K23:Z23">J23*(1+$N$5)</f>
        <v>4830</v>
      </c>
      <c r="L23" s="196">
        <f t="shared" si="15"/>
        <v>5071.5</v>
      </c>
      <c r="M23" s="196">
        <f t="shared" si="15"/>
        <v>5325.075</v>
      </c>
      <c r="N23" s="187">
        <f t="shared" si="15"/>
        <v>5591.32875</v>
      </c>
      <c r="O23" s="187">
        <f t="shared" si="15"/>
        <v>5870.8951875</v>
      </c>
      <c r="P23" s="187">
        <f t="shared" si="15"/>
        <v>6164.439946875001</v>
      </c>
      <c r="Q23" s="187">
        <f t="shared" si="15"/>
        <v>6472.661944218751</v>
      </c>
      <c r="R23" s="187">
        <f t="shared" si="15"/>
        <v>6796.295041429689</v>
      </c>
      <c r="S23" s="187">
        <f t="shared" si="15"/>
        <v>7136.109793501174</v>
      </c>
      <c r="T23" s="187">
        <f t="shared" si="15"/>
        <v>7492.915283176233</v>
      </c>
      <c r="U23" s="187">
        <f t="shared" si="15"/>
        <v>7867.561047335045</v>
      </c>
      <c r="V23" s="187">
        <f t="shared" si="15"/>
        <v>8260.939099701798</v>
      </c>
      <c r="W23" s="187">
        <f t="shared" si="15"/>
        <v>8673.986054686888</v>
      </c>
      <c r="X23" s="187">
        <f t="shared" si="15"/>
        <v>9107.685357421233</v>
      </c>
      <c r="Y23" s="187">
        <f t="shared" si="15"/>
        <v>9563.069625292295</v>
      </c>
      <c r="Z23" s="187">
        <f t="shared" si="15"/>
        <v>10041.22310655691</v>
      </c>
    </row>
    <row r="24" spans="1:26" ht="12" customHeight="1">
      <c r="A24" s="44">
        <v>15</v>
      </c>
      <c r="B24" s="188" t="s">
        <v>19</v>
      </c>
      <c r="C24" s="190">
        <f aca="true" t="shared" si="16" ref="C24:Z24">C23*0.5</f>
        <v>1600</v>
      </c>
      <c r="D24" s="190">
        <f t="shared" si="16"/>
        <v>1700</v>
      </c>
      <c r="E24" s="190">
        <f t="shared" si="16"/>
        <v>1800</v>
      </c>
      <c r="F24" s="190">
        <f t="shared" si="16"/>
        <v>1900</v>
      </c>
      <c r="G24" s="197">
        <f t="shared" si="16"/>
        <v>2000</v>
      </c>
      <c r="H24" s="190">
        <f t="shared" si="16"/>
        <v>2100</v>
      </c>
      <c r="I24" s="190">
        <f t="shared" si="16"/>
        <v>2200</v>
      </c>
      <c r="J24" s="190">
        <f t="shared" si="16"/>
        <v>2300</v>
      </c>
      <c r="K24" s="190">
        <f t="shared" si="16"/>
        <v>2415</v>
      </c>
      <c r="L24" s="197">
        <f t="shared" si="16"/>
        <v>2535.75</v>
      </c>
      <c r="M24" s="197">
        <f t="shared" si="16"/>
        <v>2662.5375</v>
      </c>
      <c r="N24" s="192">
        <f t="shared" si="16"/>
        <v>2795.664375</v>
      </c>
      <c r="O24" s="198">
        <f t="shared" si="16"/>
        <v>2935.44759375</v>
      </c>
      <c r="P24" s="198">
        <f t="shared" si="16"/>
        <v>3082.2199734375004</v>
      </c>
      <c r="Q24" s="198">
        <f t="shared" si="16"/>
        <v>3236.3309721093756</v>
      </c>
      <c r="R24" s="198">
        <f t="shared" si="16"/>
        <v>3398.1475207148446</v>
      </c>
      <c r="S24" s="198">
        <f t="shared" si="16"/>
        <v>3568.054896750587</v>
      </c>
      <c r="T24" s="198">
        <f t="shared" si="16"/>
        <v>3746.4576415881165</v>
      </c>
      <c r="U24" s="198">
        <f t="shared" si="16"/>
        <v>3933.7805236675226</v>
      </c>
      <c r="V24" s="198">
        <f t="shared" si="16"/>
        <v>4130.469549850899</v>
      </c>
      <c r="W24" s="198">
        <f t="shared" si="16"/>
        <v>4336.993027343444</v>
      </c>
      <c r="X24" s="198">
        <f t="shared" si="16"/>
        <v>4553.842678710616</v>
      </c>
      <c r="Y24" s="198">
        <f t="shared" si="16"/>
        <v>4781.534812646148</v>
      </c>
      <c r="Z24" s="198">
        <f t="shared" si="16"/>
        <v>5020.611553278455</v>
      </c>
    </row>
    <row r="25" spans="1:26" ht="12" customHeight="1">
      <c r="A25" s="44">
        <v>16</v>
      </c>
      <c r="B25" s="188" t="s">
        <v>20</v>
      </c>
      <c r="C25" s="190">
        <f aca="true" t="shared" si="17" ref="C25:Z25">0.25*C23</f>
        <v>800</v>
      </c>
      <c r="D25" s="190">
        <f t="shared" si="17"/>
        <v>850</v>
      </c>
      <c r="E25" s="190">
        <f t="shared" si="17"/>
        <v>900</v>
      </c>
      <c r="F25" s="190">
        <f t="shared" si="17"/>
        <v>950</v>
      </c>
      <c r="G25" s="197">
        <f t="shared" si="17"/>
        <v>1000</v>
      </c>
      <c r="H25" s="190">
        <f t="shared" si="17"/>
        <v>1050</v>
      </c>
      <c r="I25" s="190">
        <f t="shared" si="17"/>
        <v>1100</v>
      </c>
      <c r="J25" s="190">
        <f t="shared" si="17"/>
        <v>1150</v>
      </c>
      <c r="K25" s="197">
        <f t="shared" si="17"/>
        <v>1207.5</v>
      </c>
      <c r="L25" s="197">
        <f t="shared" si="17"/>
        <v>1267.875</v>
      </c>
      <c r="M25" s="197">
        <f t="shared" si="17"/>
        <v>1331.26875</v>
      </c>
      <c r="N25" s="192">
        <f t="shared" si="17"/>
        <v>1397.8321875</v>
      </c>
      <c r="O25" s="198">
        <f t="shared" si="17"/>
        <v>1467.723796875</v>
      </c>
      <c r="P25" s="198">
        <f t="shared" si="17"/>
        <v>1541.1099867187502</v>
      </c>
      <c r="Q25" s="198">
        <f t="shared" si="17"/>
        <v>1618.1654860546878</v>
      </c>
      <c r="R25" s="198">
        <f t="shared" si="17"/>
        <v>1699.0737603574223</v>
      </c>
      <c r="S25" s="198">
        <f t="shared" si="17"/>
        <v>1784.0274483752935</v>
      </c>
      <c r="T25" s="198">
        <f t="shared" si="17"/>
        <v>1873.2288207940583</v>
      </c>
      <c r="U25" s="198">
        <f t="shared" si="17"/>
        <v>1966.8902618337613</v>
      </c>
      <c r="V25" s="198">
        <f t="shared" si="17"/>
        <v>2065.2347749254495</v>
      </c>
      <c r="W25" s="198">
        <f t="shared" si="17"/>
        <v>2168.496513671722</v>
      </c>
      <c r="X25" s="198">
        <f t="shared" si="17"/>
        <v>2276.921339355308</v>
      </c>
      <c r="Y25" s="198">
        <f t="shared" si="17"/>
        <v>2390.767406323074</v>
      </c>
      <c r="Z25" s="198">
        <f t="shared" si="17"/>
        <v>2510.3057766392276</v>
      </c>
    </row>
    <row r="26" spans="1:26" ht="12" customHeight="1">
      <c r="A26" s="44">
        <v>17</v>
      </c>
      <c r="B26" s="188" t="s">
        <v>21</v>
      </c>
      <c r="C26" s="193">
        <v>350</v>
      </c>
      <c r="D26" s="193">
        <v>350</v>
      </c>
      <c r="E26" s="193">
        <v>400</v>
      </c>
      <c r="F26" s="193">
        <v>500</v>
      </c>
      <c r="G26" s="199">
        <f>0.2*G12</f>
        <v>300</v>
      </c>
      <c r="H26" s="193">
        <f>0.2*H12</f>
        <v>280</v>
      </c>
      <c r="I26" s="193">
        <f>0.2*I12</f>
        <v>304</v>
      </c>
      <c r="J26" s="199">
        <f aca="true" t="shared" si="18" ref="J26:Z26">I26*(1+$N$5)</f>
        <v>319.2</v>
      </c>
      <c r="K26" s="199">
        <f t="shared" si="18"/>
        <v>335.16</v>
      </c>
      <c r="L26" s="199">
        <f t="shared" si="18"/>
        <v>351.91800000000006</v>
      </c>
      <c r="M26" s="199">
        <f t="shared" si="18"/>
        <v>369.5139000000001</v>
      </c>
      <c r="N26" s="187">
        <f t="shared" si="18"/>
        <v>387.9895950000001</v>
      </c>
      <c r="O26" s="187">
        <f t="shared" si="18"/>
        <v>407.38907475000013</v>
      </c>
      <c r="P26" s="187">
        <f t="shared" si="18"/>
        <v>427.75852848750014</v>
      </c>
      <c r="Q26" s="187">
        <f t="shared" si="18"/>
        <v>449.1464549118752</v>
      </c>
      <c r="R26" s="187">
        <f t="shared" si="18"/>
        <v>471.603777657469</v>
      </c>
      <c r="S26" s="187">
        <f t="shared" si="18"/>
        <v>495.18396654034245</v>
      </c>
      <c r="T26" s="187">
        <f t="shared" si="18"/>
        <v>519.9431648673595</v>
      </c>
      <c r="U26" s="187">
        <f t="shared" si="18"/>
        <v>545.9403231107275</v>
      </c>
      <c r="V26" s="187">
        <f t="shared" si="18"/>
        <v>573.2373392662639</v>
      </c>
      <c r="W26" s="187">
        <f t="shared" si="18"/>
        <v>601.8992062295771</v>
      </c>
      <c r="X26" s="187">
        <f t="shared" si="18"/>
        <v>631.994166541056</v>
      </c>
      <c r="Y26" s="187">
        <f t="shared" si="18"/>
        <v>663.5938748681087</v>
      </c>
      <c r="Z26" s="187">
        <f t="shared" si="18"/>
        <v>696.7735686115142</v>
      </c>
    </row>
    <row r="27" spans="1:26" ht="12" customHeight="1">
      <c r="A27" s="44">
        <v>18</v>
      </c>
      <c r="B27" s="200" t="s">
        <v>22</v>
      </c>
      <c r="C27" s="193">
        <f aca="true" t="shared" si="19" ref="C27:Z27">C23-C24-C25-C26</f>
        <v>450</v>
      </c>
      <c r="D27" s="193">
        <f t="shared" si="19"/>
        <v>500</v>
      </c>
      <c r="E27" s="193">
        <f t="shared" si="19"/>
        <v>500</v>
      </c>
      <c r="F27" s="193">
        <f t="shared" si="19"/>
        <v>450</v>
      </c>
      <c r="G27" s="199">
        <f t="shared" si="19"/>
        <v>700</v>
      </c>
      <c r="H27" s="193">
        <f t="shared" si="19"/>
        <v>770</v>
      </c>
      <c r="I27" s="193">
        <f t="shared" si="19"/>
        <v>796</v>
      </c>
      <c r="J27" s="199">
        <f t="shared" si="19"/>
        <v>830.8</v>
      </c>
      <c r="K27" s="199">
        <f t="shared" si="19"/>
        <v>872.3399999999999</v>
      </c>
      <c r="L27" s="199">
        <f t="shared" si="19"/>
        <v>915.9569999999999</v>
      </c>
      <c r="M27" s="199">
        <f t="shared" si="19"/>
        <v>961.7548499999998</v>
      </c>
      <c r="N27" s="187">
        <f t="shared" si="19"/>
        <v>1009.8425924999998</v>
      </c>
      <c r="O27" s="187">
        <f t="shared" si="19"/>
        <v>1060.3347221249999</v>
      </c>
      <c r="P27" s="187">
        <f t="shared" si="19"/>
        <v>1113.35145823125</v>
      </c>
      <c r="Q27" s="187">
        <f t="shared" si="19"/>
        <v>1169.0190311428125</v>
      </c>
      <c r="R27" s="187">
        <f t="shared" si="19"/>
        <v>1227.4699826999533</v>
      </c>
      <c r="S27" s="187">
        <f t="shared" si="19"/>
        <v>1288.843481834951</v>
      </c>
      <c r="T27" s="187">
        <f t="shared" si="19"/>
        <v>1353.2856559266988</v>
      </c>
      <c r="U27" s="187">
        <f t="shared" si="19"/>
        <v>1420.949938723034</v>
      </c>
      <c r="V27" s="187">
        <f t="shared" si="19"/>
        <v>1491.9974356591856</v>
      </c>
      <c r="W27" s="187">
        <f t="shared" si="19"/>
        <v>1566.597307442145</v>
      </c>
      <c r="X27" s="187">
        <f t="shared" si="19"/>
        <v>1644.9271728142521</v>
      </c>
      <c r="Y27" s="187">
        <f t="shared" si="19"/>
        <v>1727.173531454965</v>
      </c>
      <c r="Z27" s="187">
        <f t="shared" si="19"/>
        <v>1813.5322080277133</v>
      </c>
    </row>
    <row r="28" spans="1:26" ht="12" customHeight="1">
      <c r="A28" s="44">
        <v>19</v>
      </c>
      <c r="B28" s="200" t="s">
        <v>23</v>
      </c>
      <c r="C28" s="193">
        <f aca="true" t="shared" si="20" ref="C28:Z28">C57*C58</f>
        <v>270</v>
      </c>
      <c r="D28" s="193">
        <f t="shared" si="20"/>
        <v>270</v>
      </c>
      <c r="E28" s="193">
        <f t="shared" si="20"/>
        <v>345</v>
      </c>
      <c r="F28" s="193">
        <f t="shared" si="20"/>
        <v>345</v>
      </c>
      <c r="G28" s="199">
        <f t="shared" si="20"/>
        <v>307.5</v>
      </c>
      <c r="H28" s="193">
        <f t="shared" si="20"/>
        <v>270</v>
      </c>
      <c r="I28" s="193">
        <f t="shared" si="20"/>
        <v>255</v>
      </c>
      <c r="J28" s="199">
        <f t="shared" si="20"/>
        <v>217.5</v>
      </c>
      <c r="K28" s="193">
        <f t="shared" si="20"/>
        <v>180</v>
      </c>
      <c r="L28" s="193">
        <f t="shared" si="20"/>
        <v>150</v>
      </c>
      <c r="M28" s="193">
        <f t="shared" si="20"/>
        <v>157.5</v>
      </c>
      <c r="N28" s="201">
        <f t="shared" si="20"/>
        <v>165.375</v>
      </c>
      <c r="O28" s="201">
        <f t="shared" si="20"/>
        <v>173.64374999999998</v>
      </c>
      <c r="P28" s="201">
        <f t="shared" si="20"/>
        <v>182.3259375</v>
      </c>
      <c r="Q28" s="201">
        <f t="shared" si="20"/>
        <v>191.44223437500003</v>
      </c>
      <c r="R28" s="201">
        <f t="shared" si="20"/>
        <v>201.01434609375005</v>
      </c>
      <c r="S28" s="201">
        <f t="shared" si="20"/>
        <v>211.06506339843756</v>
      </c>
      <c r="T28" s="201">
        <f t="shared" si="20"/>
        <v>221.61831656835946</v>
      </c>
      <c r="U28" s="201">
        <f t="shared" si="20"/>
        <v>232.69923239677743</v>
      </c>
      <c r="V28" s="201">
        <f t="shared" si="20"/>
        <v>244.33419401661632</v>
      </c>
      <c r="W28" s="201">
        <f t="shared" si="20"/>
        <v>256.5509037174471</v>
      </c>
      <c r="X28" s="201">
        <f t="shared" si="20"/>
        <v>269.3784489033195</v>
      </c>
      <c r="Y28" s="201">
        <f t="shared" si="20"/>
        <v>282.84737134848547</v>
      </c>
      <c r="Z28" s="201">
        <f t="shared" si="20"/>
        <v>296.98973991590975</v>
      </c>
    </row>
    <row r="29" spans="1:26" ht="12" customHeight="1">
      <c r="A29" s="44">
        <v>20</v>
      </c>
      <c r="B29" s="200" t="s">
        <v>24</v>
      </c>
      <c r="C29" s="193">
        <f aca="true" t="shared" si="21" ref="C29:Z29">C27-C28</f>
        <v>180</v>
      </c>
      <c r="D29" s="193">
        <f t="shared" si="21"/>
        <v>230</v>
      </c>
      <c r="E29" s="193">
        <f t="shared" si="21"/>
        <v>155</v>
      </c>
      <c r="F29" s="193">
        <f t="shared" si="21"/>
        <v>105</v>
      </c>
      <c r="G29" s="199">
        <f t="shared" si="21"/>
        <v>392.5</v>
      </c>
      <c r="H29" s="193">
        <f t="shared" si="21"/>
        <v>500</v>
      </c>
      <c r="I29" s="193">
        <f t="shared" si="21"/>
        <v>541</v>
      </c>
      <c r="J29" s="199">
        <f t="shared" si="21"/>
        <v>613.3</v>
      </c>
      <c r="K29" s="199">
        <f t="shared" si="21"/>
        <v>692.3399999999999</v>
      </c>
      <c r="L29" s="199">
        <f t="shared" si="21"/>
        <v>765.9569999999999</v>
      </c>
      <c r="M29" s="199">
        <f t="shared" si="21"/>
        <v>804.2548499999998</v>
      </c>
      <c r="N29" s="187">
        <f t="shared" si="21"/>
        <v>844.4675924999998</v>
      </c>
      <c r="O29" s="187">
        <f t="shared" si="21"/>
        <v>886.6909721249999</v>
      </c>
      <c r="P29" s="187">
        <f t="shared" si="21"/>
        <v>931.02552073125</v>
      </c>
      <c r="Q29" s="187">
        <f t="shared" si="21"/>
        <v>977.5767967678125</v>
      </c>
      <c r="R29" s="187">
        <f t="shared" si="21"/>
        <v>1026.4556366062034</v>
      </c>
      <c r="S29" s="187">
        <f t="shared" si="21"/>
        <v>1077.7784184365134</v>
      </c>
      <c r="T29" s="187">
        <f t="shared" si="21"/>
        <v>1131.6673393583394</v>
      </c>
      <c r="U29" s="187">
        <f t="shared" si="21"/>
        <v>1188.2507063262565</v>
      </c>
      <c r="V29" s="187">
        <f t="shared" si="21"/>
        <v>1247.6632416425693</v>
      </c>
      <c r="W29" s="187">
        <f t="shared" si="21"/>
        <v>1310.046403724698</v>
      </c>
      <c r="X29" s="187">
        <f t="shared" si="21"/>
        <v>1375.5487239109325</v>
      </c>
      <c r="Y29" s="187">
        <f t="shared" si="21"/>
        <v>1444.3261601064796</v>
      </c>
      <c r="Z29" s="187">
        <f t="shared" si="21"/>
        <v>1516.5424681118036</v>
      </c>
    </row>
    <row r="30" spans="1:26" ht="12.75" customHeight="1">
      <c r="A30" s="44">
        <v>21</v>
      </c>
      <c r="B30" s="200" t="s">
        <v>25</v>
      </c>
      <c r="C30" s="200">
        <f aca="true" t="shared" si="22" ref="C30:Z30">$A126*C29</f>
        <v>62.99999999999999</v>
      </c>
      <c r="D30" s="194">
        <f t="shared" si="22"/>
        <v>80.5</v>
      </c>
      <c r="E30" s="199">
        <f t="shared" si="22"/>
        <v>54.25</v>
      </c>
      <c r="F30" s="199">
        <f t="shared" si="22"/>
        <v>36.75</v>
      </c>
      <c r="G30" s="199">
        <f t="shared" si="22"/>
        <v>137.375</v>
      </c>
      <c r="H30" s="193">
        <f t="shared" si="22"/>
        <v>175</v>
      </c>
      <c r="I30" s="199">
        <f t="shared" si="22"/>
        <v>189.35</v>
      </c>
      <c r="J30" s="199">
        <f t="shared" si="22"/>
        <v>214.65499999999997</v>
      </c>
      <c r="K30" s="199">
        <f t="shared" si="22"/>
        <v>242.31899999999996</v>
      </c>
      <c r="L30" s="199">
        <f t="shared" si="22"/>
        <v>268.08494999999994</v>
      </c>
      <c r="M30" s="199">
        <f t="shared" si="22"/>
        <v>281.48919749999993</v>
      </c>
      <c r="N30" s="187">
        <f t="shared" si="22"/>
        <v>295.56365737499993</v>
      </c>
      <c r="O30" s="187">
        <f t="shared" si="22"/>
        <v>310.34184024374997</v>
      </c>
      <c r="P30" s="187">
        <f t="shared" si="22"/>
        <v>325.8589322559375</v>
      </c>
      <c r="Q30" s="187">
        <f t="shared" si="22"/>
        <v>342.15187886873434</v>
      </c>
      <c r="R30" s="187">
        <f t="shared" si="22"/>
        <v>359.25947281217117</v>
      </c>
      <c r="S30" s="187">
        <f t="shared" si="22"/>
        <v>377.2224464527797</v>
      </c>
      <c r="T30" s="187">
        <f t="shared" si="22"/>
        <v>396.08356877541877</v>
      </c>
      <c r="U30" s="187">
        <f t="shared" si="22"/>
        <v>415.88774721418974</v>
      </c>
      <c r="V30" s="187">
        <f t="shared" si="22"/>
        <v>436.68213457489924</v>
      </c>
      <c r="W30" s="187">
        <f t="shared" si="22"/>
        <v>458.5162413036442</v>
      </c>
      <c r="X30" s="187">
        <f t="shared" si="22"/>
        <v>481.44205336882635</v>
      </c>
      <c r="Y30" s="187">
        <f t="shared" si="22"/>
        <v>505.5141560372678</v>
      </c>
      <c r="Z30" s="187">
        <f t="shared" si="22"/>
        <v>530.7898638391313</v>
      </c>
    </row>
    <row r="31" spans="1:26" s="3" customFormat="1" ht="12" customHeight="1">
      <c r="A31" s="52">
        <v>22</v>
      </c>
      <c r="B31" s="61" t="s">
        <v>26</v>
      </c>
      <c r="C31" s="61">
        <f aca="true" t="shared" si="23" ref="C31:Z31">C29-C30</f>
        <v>117</v>
      </c>
      <c r="D31" s="170">
        <f t="shared" si="23"/>
        <v>149.5</v>
      </c>
      <c r="E31" s="62">
        <f t="shared" si="23"/>
        <v>100.75</v>
      </c>
      <c r="F31" s="62">
        <f t="shared" si="23"/>
        <v>68.25</v>
      </c>
      <c r="G31" s="62">
        <f t="shared" si="23"/>
        <v>255.125</v>
      </c>
      <c r="H31" s="172">
        <f t="shared" si="23"/>
        <v>325</v>
      </c>
      <c r="I31" s="62">
        <f t="shared" si="23"/>
        <v>351.65</v>
      </c>
      <c r="J31" s="62">
        <f t="shared" si="23"/>
        <v>398.645</v>
      </c>
      <c r="K31" s="62">
        <f t="shared" si="23"/>
        <v>450.02099999999996</v>
      </c>
      <c r="L31" s="62">
        <f t="shared" si="23"/>
        <v>497.87204999999994</v>
      </c>
      <c r="M31" s="62">
        <f t="shared" si="23"/>
        <v>522.7656524999999</v>
      </c>
      <c r="N31" s="63">
        <f t="shared" si="23"/>
        <v>548.9039351249999</v>
      </c>
      <c r="O31" s="63">
        <f t="shared" si="23"/>
        <v>576.34913188125</v>
      </c>
      <c r="P31" s="63">
        <f t="shared" si="23"/>
        <v>605.1665884753126</v>
      </c>
      <c r="Q31" s="63">
        <f t="shared" si="23"/>
        <v>635.4249178990782</v>
      </c>
      <c r="R31" s="63">
        <f t="shared" si="23"/>
        <v>667.1961637940321</v>
      </c>
      <c r="S31" s="63">
        <f t="shared" si="23"/>
        <v>700.5559719837338</v>
      </c>
      <c r="T31" s="63">
        <f t="shared" si="23"/>
        <v>735.5837705829206</v>
      </c>
      <c r="U31" s="63">
        <f t="shared" si="23"/>
        <v>772.3629591120667</v>
      </c>
      <c r="V31" s="63">
        <f t="shared" si="23"/>
        <v>810.9811070676701</v>
      </c>
      <c r="W31" s="63">
        <f t="shared" si="23"/>
        <v>851.5301624210538</v>
      </c>
      <c r="X31" s="63">
        <f t="shared" si="23"/>
        <v>894.1066705421061</v>
      </c>
      <c r="Y31" s="63">
        <f t="shared" si="23"/>
        <v>938.8120040692118</v>
      </c>
      <c r="Z31" s="63">
        <f t="shared" si="23"/>
        <v>985.7526042726723</v>
      </c>
    </row>
    <row r="32" spans="1:26" ht="10.5" hidden="1">
      <c r="A32" s="64" t="s">
        <v>27</v>
      </c>
      <c r="B32" s="200"/>
      <c r="C32" s="200"/>
      <c r="D32" s="194"/>
      <c r="E32" s="199"/>
      <c r="F32" s="199"/>
      <c r="G32" s="199"/>
      <c r="H32" s="193"/>
      <c r="I32" s="199"/>
      <c r="J32" s="199"/>
      <c r="K32" s="199"/>
      <c r="L32" s="199"/>
      <c r="M32" s="199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</row>
    <row r="33" spans="1:26" ht="10.5" hidden="1">
      <c r="A33" s="64"/>
      <c r="B33" s="200"/>
      <c r="C33" s="24">
        <v>1</v>
      </c>
      <c r="D33" s="171">
        <f aca="true" t="shared" si="24" ref="D33:Z33">C33+1</f>
        <v>2</v>
      </c>
      <c r="E33" s="173">
        <f t="shared" si="24"/>
        <v>3</v>
      </c>
      <c r="F33" s="24">
        <f t="shared" si="24"/>
        <v>4</v>
      </c>
      <c r="G33" s="173">
        <f t="shared" si="24"/>
        <v>5</v>
      </c>
      <c r="H33" s="174">
        <f t="shared" si="24"/>
        <v>6</v>
      </c>
      <c r="I33" s="173">
        <f t="shared" si="24"/>
        <v>7</v>
      </c>
      <c r="J33" s="173">
        <f t="shared" si="24"/>
        <v>8</v>
      </c>
      <c r="K33" s="173">
        <f t="shared" si="24"/>
        <v>9</v>
      </c>
      <c r="L33" s="173">
        <f t="shared" si="24"/>
        <v>10</v>
      </c>
      <c r="M33" s="24">
        <f t="shared" si="24"/>
        <v>11</v>
      </c>
      <c r="N33" s="13">
        <f t="shared" si="24"/>
        <v>12</v>
      </c>
      <c r="O33" s="13">
        <f t="shared" si="24"/>
        <v>13</v>
      </c>
      <c r="P33" s="13">
        <f t="shared" si="24"/>
        <v>14</v>
      </c>
      <c r="Q33" s="13">
        <f t="shared" si="24"/>
        <v>15</v>
      </c>
      <c r="R33" s="13">
        <f t="shared" si="24"/>
        <v>16</v>
      </c>
      <c r="S33" s="13">
        <f t="shared" si="24"/>
        <v>17</v>
      </c>
      <c r="T33" s="13">
        <f t="shared" si="24"/>
        <v>18</v>
      </c>
      <c r="U33" s="13">
        <f t="shared" si="24"/>
        <v>19</v>
      </c>
      <c r="V33" s="13">
        <f t="shared" si="24"/>
        <v>20</v>
      </c>
      <c r="W33" s="13">
        <f t="shared" si="24"/>
        <v>21</v>
      </c>
      <c r="X33" s="13">
        <f t="shared" si="24"/>
        <v>22</v>
      </c>
      <c r="Y33" s="13">
        <f t="shared" si="24"/>
        <v>23</v>
      </c>
      <c r="Z33" s="13">
        <f t="shared" si="24"/>
        <v>24</v>
      </c>
    </row>
    <row r="34" spans="1:26" s="3" customFormat="1" ht="10.5" hidden="1">
      <c r="A34" s="52">
        <v>22</v>
      </c>
      <c r="B34" s="61" t="s">
        <v>28</v>
      </c>
      <c r="C34" s="61">
        <f aca="true" t="shared" si="25" ref="C34:Z34">C31</f>
        <v>117</v>
      </c>
      <c r="D34" s="170">
        <f t="shared" si="25"/>
        <v>149.5</v>
      </c>
      <c r="E34" s="62">
        <f t="shared" si="25"/>
        <v>100.75</v>
      </c>
      <c r="F34" s="61">
        <f t="shared" si="25"/>
        <v>68.25</v>
      </c>
      <c r="G34" s="62">
        <f t="shared" si="25"/>
        <v>255.125</v>
      </c>
      <c r="H34" s="172">
        <f t="shared" si="25"/>
        <v>325</v>
      </c>
      <c r="I34" s="62">
        <f t="shared" si="25"/>
        <v>351.65</v>
      </c>
      <c r="J34" s="62">
        <f t="shared" si="25"/>
        <v>398.645</v>
      </c>
      <c r="K34" s="62">
        <f t="shared" si="25"/>
        <v>450.02099999999996</v>
      </c>
      <c r="L34" s="62">
        <f t="shared" si="25"/>
        <v>497.87204999999994</v>
      </c>
      <c r="M34" s="61">
        <f t="shared" si="25"/>
        <v>522.7656524999999</v>
      </c>
      <c r="N34" s="65">
        <f t="shared" si="25"/>
        <v>548.9039351249999</v>
      </c>
      <c r="O34" s="65">
        <f t="shared" si="25"/>
        <v>576.34913188125</v>
      </c>
      <c r="P34" s="65">
        <f t="shared" si="25"/>
        <v>605.1665884753126</v>
      </c>
      <c r="Q34" s="65">
        <f t="shared" si="25"/>
        <v>635.4249178990782</v>
      </c>
      <c r="R34" s="65">
        <f t="shared" si="25"/>
        <v>667.1961637940321</v>
      </c>
      <c r="S34" s="65">
        <f t="shared" si="25"/>
        <v>700.5559719837338</v>
      </c>
      <c r="T34" s="65">
        <f t="shared" si="25"/>
        <v>735.5837705829206</v>
      </c>
      <c r="U34" s="65">
        <f t="shared" si="25"/>
        <v>772.3629591120667</v>
      </c>
      <c r="V34" s="65">
        <f t="shared" si="25"/>
        <v>810.9811070676701</v>
      </c>
      <c r="W34" s="65">
        <f t="shared" si="25"/>
        <v>851.5301624210538</v>
      </c>
      <c r="X34" s="65">
        <f t="shared" si="25"/>
        <v>894.1066705421061</v>
      </c>
      <c r="Y34" s="65">
        <f t="shared" si="25"/>
        <v>938.8120040692118</v>
      </c>
      <c r="Z34" s="65">
        <f t="shared" si="25"/>
        <v>985.7526042726723</v>
      </c>
    </row>
    <row r="35" spans="1:26" ht="12" customHeight="1">
      <c r="A35" s="44">
        <v>23</v>
      </c>
      <c r="B35" s="200" t="s">
        <v>29</v>
      </c>
      <c r="C35" s="200">
        <f aca="true" t="shared" si="26" ref="C35:Z35">C26</f>
        <v>350</v>
      </c>
      <c r="D35" s="193">
        <f t="shared" si="26"/>
        <v>350</v>
      </c>
      <c r="E35" s="193">
        <f t="shared" si="26"/>
        <v>400</v>
      </c>
      <c r="F35" s="193">
        <f t="shared" si="26"/>
        <v>500</v>
      </c>
      <c r="G35" s="199">
        <f t="shared" si="26"/>
        <v>300</v>
      </c>
      <c r="H35" s="193">
        <f t="shared" si="26"/>
        <v>280</v>
      </c>
      <c r="I35" s="193">
        <f t="shared" si="26"/>
        <v>304</v>
      </c>
      <c r="J35" s="199">
        <f t="shared" si="26"/>
        <v>319.2</v>
      </c>
      <c r="K35" s="199">
        <f t="shared" si="26"/>
        <v>335.16</v>
      </c>
      <c r="L35" s="199">
        <f t="shared" si="26"/>
        <v>351.91800000000006</v>
      </c>
      <c r="M35" s="199">
        <f t="shared" si="26"/>
        <v>369.5139000000001</v>
      </c>
      <c r="N35" s="187">
        <f t="shared" si="26"/>
        <v>387.9895950000001</v>
      </c>
      <c r="O35" s="187">
        <f t="shared" si="26"/>
        <v>407.38907475000013</v>
      </c>
      <c r="P35" s="187">
        <f t="shared" si="26"/>
        <v>427.75852848750014</v>
      </c>
      <c r="Q35" s="187">
        <f t="shared" si="26"/>
        <v>449.1464549118752</v>
      </c>
      <c r="R35" s="187">
        <f t="shared" si="26"/>
        <v>471.603777657469</v>
      </c>
      <c r="S35" s="187">
        <f t="shared" si="26"/>
        <v>495.18396654034245</v>
      </c>
      <c r="T35" s="187">
        <f t="shared" si="26"/>
        <v>519.9431648673595</v>
      </c>
      <c r="U35" s="187">
        <f t="shared" si="26"/>
        <v>545.9403231107275</v>
      </c>
      <c r="V35" s="187">
        <f t="shared" si="26"/>
        <v>573.2373392662639</v>
      </c>
      <c r="W35" s="187">
        <f t="shared" si="26"/>
        <v>601.8992062295771</v>
      </c>
      <c r="X35" s="187">
        <f t="shared" si="26"/>
        <v>631.994166541056</v>
      </c>
      <c r="Y35" s="187">
        <f t="shared" si="26"/>
        <v>663.5938748681087</v>
      </c>
      <c r="Z35" s="187">
        <f t="shared" si="26"/>
        <v>696.7735686115142</v>
      </c>
    </row>
    <row r="36" spans="1:26" ht="12" customHeight="1">
      <c r="A36" s="44">
        <v>24</v>
      </c>
      <c r="B36" s="200" t="s">
        <v>30</v>
      </c>
      <c r="C36" s="200">
        <f aca="true" t="shared" si="27" ref="C36:Z36">D57-C57</f>
        <v>0</v>
      </c>
      <c r="D36" s="193">
        <f t="shared" si="27"/>
        <v>500</v>
      </c>
      <c r="E36" s="193">
        <f t="shared" si="27"/>
        <v>0</v>
      </c>
      <c r="F36" s="193">
        <f t="shared" si="27"/>
        <v>-250</v>
      </c>
      <c r="G36" s="199">
        <f t="shared" si="27"/>
        <v>-250</v>
      </c>
      <c r="H36" s="193">
        <f t="shared" si="27"/>
        <v>-100</v>
      </c>
      <c r="I36" s="193">
        <f t="shared" si="27"/>
        <v>-250</v>
      </c>
      <c r="J36" s="193">
        <f t="shared" si="27"/>
        <v>-250</v>
      </c>
      <c r="K36" s="193">
        <f t="shared" si="27"/>
        <v>-200</v>
      </c>
      <c r="L36" s="193">
        <f t="shared" si="27"/>
        <v>50</v>
      </c>
      <c r="M36" s="199">
        <f t="shared" si="27"/>
        <v>52.5</v>
      </c>
      <c r="N36" s="187">
        <f t="shared" si="27"/>
        <v>55.125</v>
      </c>
      <c r="O36" s="187">
        <f t="shared" si="27"/>
        <v>57.881250000000136</v>
      </c>
      <c r="P36" s="187">
        <f t="shared" si="27"/>
        <v>60.775312500000155</v>
      </c>
      <c r="Q36" s="187">
        <f t="shared" si="27"/>
        <v>63.81407812500015</v>
      </c>
      <c r="R36" s="187">
        <f t="shared" si="27"/>
        <v>67.00478203124999</v>
      </c>
      <c r="S36" s="187">
        <f t="shared" si="27"/>
        <v>70.35502113281268</v>
      </c>
      <c r="T36" s="187">
        <f t="shared" si="27"/>
        <v>73.87277218945314</v>
      </c>
      <c r="U36" s="187">
        <f t="shared" si="27"/>
        <v>77.56641079892597</v>
      </c>
      <c r="V36" s="187">
        <f t="shared" si="27"/>
        <v>81.44473133887209</v>
      </c>
      <c r="W36" s="187">
        <f t="shared" si="27"/>
        <v>85.51696790581582</v>
      </c>
      <c r="X36" s="187">
        <f t="shared" si="27"/>
        <v>89.79281630110654</v>
      </c>
      <c r="Y36" s="187">
        <f t="shared" si="27"/>
        <v>94.28245711616182</v>
      </c>
      <c r="Z36" s="187">
        <f t="shared" si="27"/>
        <v>98.99657997197005</v>
      </c>
    </row>
    <row r="37" spans="1:26" ht="12" customHeight="1">
      <c r="A37" s="44">
        <v>25</v>
      </c>
      <c r="B37" s="200" t="s">
        <v>31</v>
      </c>
      <c r="C37" s="200">
        <f aca="true" t="shared" si="28" ref="C37:Z37">C19-D19</f>
        <v>-80</v>
      </c>
      <c r="D37" s="193">
        <f t="shared" si="28"/>
        <v>-80</v>
      </c>
      <c r="E37" s="193">
        <f t="shared" si="28"/>
        <v>-80</v>
      </c>
      <c r="F37" s="200">
        <f t="shared" si="28"/>
        <v>-80</v>
      </c>
      <c r="G37" s="199">
        <f t="shared" si="28"/>
        <v>-80</v>
      </c>
      <c r="H37" s="193">
        <f t="shared" si="28"/>
        <v>-70</v>
      </c>
      <c r="I37" s="193">
        <f t="shared" si="28"/>
        <v>-70</v>
      </c>
      <c r="J37" s="193">
        <f t="shared" si="28"/>
        <v>-70</v>
      </c>
      <c r="K37" s="199">
        <f t="shared" si="28"/>
        <v>-79</v>
      </c>
      <c r="L37" s="199">
        <f t="shared" si="28"/>
        <v>-84.44999999999982</v>
      </c>
      <c r="M37" s="199">
        <f t="shared" si="28"/>
        <v>-88.67250000000013</v>
      </c>
      <c r="N37" s="187">
        <f t="shared" si="28"/>
        <v>-93.10612500000002</v>
      </c>
      <c r="O37" s="181">
        <f t="shared" si="28"/>
        <v>-97.76143125000021</v>
      </c>
      <c r="P37" s="181">
        <f t="shared" si="28"/>
        <v>-102.64950281250003</v>
      </c>
      <c r="Q37" s="181">
        <f t="shared" si="28"/>
        <v>-107.78197795312508</v>
      </c>
      <c r="R37" s="181">
        <f t="shared" si="28"/>
        <v>-113.17107685078145</v>
      </c>
      <c r="S37" s="181">
        <f t="shared" si="28"/>
        <v>-118.82963069332027</v>
      </c>
      <c r="T37" s="181">
        <f t="shared" si="28"/>
        <v>-124.77111222798703</v>
      </c>
      <c r="U37" s="181">
        <f t="shared" si="28"/>
        <v>-131.00966783938566</v>
      </c>
      <c r="V37" s="181">
        <f t="shared" si="28"/>
        <v>-137.56015123135512</v>
      </c>
      <c r="W37" s="181">
        <f t="shared" si="28"/>
        <v>-144.43815879292242</v>
      </c>
      <c r="X37" s="181">
        <f t="shared" si="28"/>
        <v>-151.66006673256925</v>
      </c>
      <c r="Y37" s="181">
        <f t="shared" si="28"/>
        <v>-159.24307006919753</v>
      </c>
      <c r="Z37" s="181">
        <f t="shared" si="28"/>
        <v>-167.20522357265736</v>
      </c>
    </row>
    <row r="38" spans="1:26" ht="12" customHeight="1">
      <c r="A38" s="44">
        <v>26</v>
      </c>
      <c r="B38" s="200" t="s">
        <v>32</v>
      </c>
      <c r="C38" s="200">
        <f aca="true" t="shared" si="29" ref="C38:Z38">C10-D10</f>
        <v>-300</v>
      </c>
      <c r="D38" s="193">
        <f t="shared" si="29"/>
        <v>-900</v>
      </c>
      <c r="E38" s="193">
        <f t="shared" si="29"/>
        <v>-400</v>
      </c>
      <c r="F38" s="193">
        <f t="shared" si="29"/>
        <v>-200</v>
      </c>
      <c r="G38" s="199">
        <f t="shared" si="29"/>
        <v>-200</v>
      </c>
      <c r="H38" s="193">
        <f t="shared" si="29"/>
        <v>-400</v>
      </c>
      <c r="I38" s="193">
        <f t="shared" si="29"/>
        <v>-304</v>
      </c>
      <c r="J38" s="199">
        <f t="shared" si="29"/>
        <v>-319.1999999999998</v>
      </c>
      <c r="K38" s="199">
        <f t="shared" si="29"/>
        <v>-335.15999999999985</v>
      </c>
      <c r="L38" s="199">
        <f t="shared" si="29"/>
        <v>-351.91799999999967</v>
      </c>
      <c r="M38" s="199">
        <f t="shared" si="29"/>
        <v>-369.513899999999</v>
      </c>
      <c r="N38" s="187">
        <f t="shared" si="29"/>
        <v>-387.9895950000009</v>
      </c>
      <c r="O38" s="187">
        <f t="shared" si="29"/>
        <v>-407.38907474999996</v>
      </c>
      <c r="P38" s="187">
        <f t="shared" si="29"/>
        <v>-427.75852848749946</v>
      </c>
      <c r="Q38" s="187">
        <f t="shared" si="29"/>
        <v>-449.1464549118755</v>
      </c>
      <c r="R38" s="187">
        <f t="shared" si="29"/>
        <v>-471.6037776574685</v>
      </c>
      <c r="S38" s="187">
        <f t="shared" si="29"/>
        <v>-495.1839665403422</v>
      </c>
      <c r="T38" s="187">
        <f t="shared" si="29"/>
        <v>-519.9431648673599</v>
      </c>
      <c r="U38" s="187">
        <f t="shared" si="29"/>
        <v>-545.9403231107262</v>
      </c>
      <c r="V38" s="187">
        <f t="shared" si="29"/>
        <v>-573.237339266263</v>
      </c>
      <c r="W38" s="187">
        <f t="shared" si="29"/>
        <v>-601.8992062295765</v>
      </c>
      <c r="X38" s="187">
        <f t="shared" si="29"/>
        <v>-631.9941665410552</v>
      </c>
      <c r="Y38" s="187">
        <f t="shared" si="29"/>
        <v>-663.593874868111</v>
      </c>
      <c r="Z38" s="187">
        <f t="shared" si="29"/>
        <v>-696.7735686115138</v>
      </c>
    </row>
    <row r="39" spans="1:26" ht="12" customHeight="1">
      <c r="A39" s="52">
        <v>27</v>
      </c>
      <c r="B39" s="61" t="s">
        <v>33</v>
      </c>
      <c r="C39" s="61">
        <f aca="true" t="shared" si="30" ref="C39:Z39">C31+C35+C38+C36+C37</f>
        <v>87</v>
      </c>
      <c r="D39" s="170">
        <f t="shared" si="30"/>
        <v>19.5</v>
      </c>
      <c r="E39" s="62">
        <f t="shared" si="30"/>
        <v>20.75</v>
      </c>
      <c r="F39" s="62">
        <f t="shared" si="30"/>
        <v>38.25</v>
      </c>
      <c r="G39" s="62">
        <f t="shared" si="30"/>
        <v>25.125</v>
      </c>
      <c r="H39" s="172">
        <f t="shared" si="30"/>
        <v>35</v>
      </c>
      <c r="I39" s="62">
        <f t="shared" si="30"/>
        <v>31.649999999999977</v>
      </c>
      <c r="J39" s="62">
        <f t="shared" si="30"/>
        <v>78.64500000000021</v>
      </c>
      <c r="K39" s="62">
        <f t="shared" si="30"/>
        <v>171.02100000000019</v>
      </c>
      <c r="L39" s="62">
        <f t="shared" si="30"/>
        <v>463.4220500000006</v>
      </c>
      <c r="M39" s="62">
        <f t="shared" si="30"/>
        <v>486.59315250000077</v>
      </c>
      <c r="N39" s="63">
        <f t="shared" si="30"/>
        <v>510.92281012499905</v>
      </c>
      <c r="O39" s="63">
        <f t="shared" si="30"/>
        <v>536.46895063125</v>
      </c>
      <c r="P39" s="63">
        <f t="shared" si="30"/>
        <v>563.2923981628135</v>
      </c>
      <c r="Q39" s="63">
        <f t="shared" si="30"/>
        <v>591.4570180709529</v>
      </c>
      <c r="R39" s="63">
        <f t="shared" si="30"/>
        <v>621.0298689745011</v>
      </c>
      <c r="S39" s="63">
        <f t="shared" si="30"/>
        <v>652.0813624232264</v>
      </c>
      <c r="T39" s="63">
        <f t="shared" si="30"/>
        <v>684.6854305443865</v>
      </c>
      <c r="U39" s="63">
        <f t="shared" si="30"/>
        <v>718.9197020716083</v>
      </c>
      <c r="V39" s="63">
        <f t="shared" si="30"/>
        <v>754.865687175188</v>
      </c>
      <c r="W39" s="63">
        <f t="shared" si="30"/>
        <v>792.6089715339476</v>
      </c>
      <c r="X39" s="63">
        <f t="shared" si="30"/>
        <v>832.2394201106442</v>
      </c>
      <c r="Y39" s="63">
        <f t="shared" si="30"/>
        <v>873.8513911161738</v>
      </c>
      <c r="Z39" s="63">
        <f t="shared" si="30"/>
        <v>917.5439606719854</v>
      </c>
    </row>
    <row r="40" spans="1:26" s="3" customFormat="1" ht="12" customHeight="1">
      <c r="A40" s="52">
        <v>28</v>
      </c>
      <c r="B40" s="61" t="s">
        <v>34</v>
      </c>
      <c r="C40" s="61">
        <f aca="true" t="shared" si="31" ref="C40:Z40">C39+C28*(1-$A126)-C36</f>
        <v>262.5</v>
      </c>
      <c r="D40" s="172">
        <f t="shared" si="31"/>
        <v>-305</v>
      </c>
      <c r="E40" s="172">
        <f t="shared" si="31"/>
        <v>245</v>
      </c>
      <c r="F40" s="170">
        <f t="shared" si="31"/>
        <v>512.5</v>
      </c>
      <c r="G40" s="62">
        <f t="shared" si="31"/>
        <v>475</v>
      </c>
      <c r="H40" s="170">
        <f t="shared" si="31"/>
        <v>310.5</v>
      </c>
      <c r="I40" s="62">
        <f t="shared" si="31"/>
        <v>447.4</v>
      </c>
      <c r="J40" s="62">
        <f t="shared" si="31"/>
        <v>470.0200000000002</v>
      </c>
      <c r="K40" s="62">
        <f t="shared" si="31"/>
        <v>488.0210000000002</v>
      </c>
      <c r="L40" s="62">
        <f t="shared" si="31"/>
        <v>510.9220500000006</v>
      </c>
      <c r="M40" s="62">
        <f t="shared" si="31"/>
        <v>536.4681525000008</v>
      </c>
      <c r="N40" s="63">
        <f t="shared" si="31"/>
        <v>563.291560124999</v>
      </c>
      <c r="O40" s="63">
        <f t="shared" si="31"/>
        <v>591.4561381312499</v>
      </c>
      <c r="P40" s="63">
        <f t="shared" si="31"/>
        <v>621.0289450378133</v>
      </c>
      <c r="Q40" s="63">
        <f t="shared" si="31"/>
        <v>652.0803922897028</v>
      </c>
      <c r="R40" s="63">
        <f t="shared" si="31"/>
        <v>684.6844119041887</v>
      </c>
      <c r="S40" s="63">
        <f t="shared" si="31"/>
        <v>718.9186324993982</v>
      </c>
      <c r="T40" s="63">
        <f t="shared" si="31"/>
        <v>754.864564124367</v>
      </c>
      <c r="U40" s="63">
        <f t="shared" si="31"/>
        <v>792.6077923305877</v>
      </c>
      <c r="V40" s="63">
        <f t="shared" si="31"/>
        <v>832.2381819471166</v>
      </c>
      <c r="W40" s="63">
        <f t="shared" si="31"/>
        <v>873.8500910444725</v>
      </c>
      <c r="X40" s="63">
        <f t="shared" si="31"/>
        <v>917.5425955966954</v>
      </c>
      <c r="Y40" s="63">
        <f t="shared" si="31"/>
        <v>963.4197253765276</v>
      </c>
      <c r="Z40" s="63">
        <f t="shared" si="31"/>
        <v>1011.5907116453566</v>
      </c>
    </row>
    <row r="41" spans="2:27" ht="15" customHeight="1">
      <c r="B41" s="2" t="s">
        <v>35</v>
      </c>
      <c r="C41" s="28"/>
      <c r="D41" s="25"/>
      <c r="E41" s="33">
        <f aca="true" t="shared" si="32" ref="E41:AA41">D40/C40-1</f>
        <v>-2.161904761904762</v>
      </c>
      <c r="F41" s="33">
        <f t="shared" si="32"/>
        <v>-1.8032786885245902</v>
      </c>
      <c r="G41" s="25">
        <f t="shared" si="32"/>
        <v>1.0918367346938775</v>
      </c>
      <c r="H41" s="25">
        <f t="shared" si="32"/>
        <v>-0.07317073170731703</v>
      </c>
      <c r="I41" s="25">
        <f t="shared" si="32"/>
        <v>-0.34631578947368424</v>
      </c>
      <c r="J41" s="25">
        <f t="shared" si="32"/>
        <v>0.44090177133655395</v>
      </c>
      <c r="K41" s="25">
        <f t="shared" si="32"/>
        <v>0.0505587840858297</v>
      </c>
      <c r="L41" s="25">
        <f t="shared" si="32"/>
        <v>0.03829837028211558</v>
      </c>
      <c r="M41" s="25">
        <f t="shared" si="32"/>
        <v>0.04692636177541609</v>
      </c>
      <c r="N41" s="25">
        <f t="shared" si="32"/>
        <v>0.050000000000000266</v>
      </c>
      <c r="O41" s="25">
        <f t="shared" si="32"/>
        <v>0.049999999999996714</v>
      </c>
      <c r="P41" s="25">
        <f t="shared" si="32"/>
        <v>0.0500000000000016</v>
      </c>
      <c r="Q41" s="25">
        <f t="shared" si="32"/>
        <v>0.0500000000000016</v>
      </c>
      <c r="R41" s="5">
        <f t="shared" si="32"/>
        <v>0.049999999999998046</v>
      </c>
      <c r="S41" s="5">
        <f t="shared" si="32"/>
        <v>0.050000000000001155</v>
      </c>
      <c r="T41" s="5">
        <f t="shared" si="32"/>
        <v>0.050000000000000044</v>
      </c>
      <c r="U41" s="5">
        <f t="shared" si="32"/>
        <v>0.04999999999999849</v>
      </c>
      <c r="V41" s="5">
        <f t="shared" si="32"/>
        <v>0.05000000000000315</v>
      </c>
      <c r="W41" s="5">
        <f t="shared" si="32"/>
        <v>0.04999999999999938</v>
      </c>
      <c r="X41" s="5">
        <f t="shared" si="32"/>
        <v>0.050000000000000044</v>
      </c>
      <c r="Y41" s="5">
        <f t="shared" si="32"/>
        <v>0.049999999999999156</v>
      </c>
      <c r="Z41" s="5">
        <f t="shared" si="32"/>
        <v>0.04999999999999716</v>
      </c>
      <c r="AA41" s="5">
        <f t="shared" si="32"/>
        <v>0.05000000000000271</v>
      </c>
    </row>
    <row r="42" spans="2:27" ht="15" customHeight="1">
      <c r="B42" s="181" t="s">
        <v>36</v>
      </c>
      <c r="C42" s="202">
        <v>1</v>
      </c>
      <c r="D42" s="202">
        <v>1</v>
      </c>
      <c r="E42" s="202">
        <v>1</v>
      </c>
      <c r="F42" s="202">
        <v>1</v>
      </c>
      <c r="G42" s="202">
        <v>1</v>
      </c>
      <c r="H42" s="202">
        <v>1</v>
      </c>
      <c r="I42" s="202">
        <v>1</v>
      </c>
      <c r="J42" s="202">
        <v>1</v>
      </c>
      <c r="K42" s="202">
        <v>1</v>
      </c>
      <c r="L42" s="202">
        <v>1</v>
      </c>
      <c r="M42" s="202">
        <v>1</v>
      </c>
      <c r="N42" s="202">
        <v>1</v>
      </c>
      <c r="O42" s="202">
        <v>1</v>
      </c>
      <c r="P42" s="203">
        <v>1</v>
      </c>
      <c r="Q42" s="203">
        <v>1</v>
      </c>
      <c r="R42" s="204">
        <v>1</v>
      </c>
      <c r="S42" s="204">
        <v>1</v>
      </c>
      <c r="T42" s="204">
        <v>1</v>
      </c>
      <c r="U42" s="204">
        <v>1</v>
      </c>
      <c r="V42" s="204">
        <v>1</v>
      </c>
      <c r="W42" s="204">
        <v>1</v>
      </c>
      <c r="X42" s="204">
        <v>1</v>
      </c>
      <c r="Y42" s="204">
        <v>1</v>
      </c>
      <c r="Z42" s="204">
        <v>1</v>
      </c>
      <c r="AA42" s="204">
        <v>1</v>
      </c>
    </row>
    <row r="43" spans="2:27" ht="12" customHeight="1">
      <c r="B43" s="181" t="s">
        <v>37</v>
      </c>
      <c r="C43" s="205">
        <v>0.12</v>
      </c>
      <c r="D43" s="205">
        <v>0.12</v>
      </c>
      <c r="E43" s="205">
        <v>0.12</v>
      </c>
      <c r="F43" s="205">
        <v>0.12</v>
      </c>
      <c r="G43" s="205">
        <v>0.12</v>
      </c>
      <c r="H43" s="205">
        <v>0.12</v>
      </c>
      <c r="I43" s="205">
        <v>0.12</v>
      </c>
      <c r="J43" s="205">
        <v>0.12</v>
      </c>
      <c r="K43" s="205">
        <v>0.12</v>
      </c>
      <c r="L43" s="205">
        <v>0.12</v>
      </c>
      <c r="M43" s="205">
        <v>0.12</v>
      </c>
      <c r="N43" s="205">
        <v>0.12</v>
      </c>
      <c r="O43" s="205">
        <v>0.12</v>
      </c>
      <c r="P43" s="205">
        <v>0.12</v>
      </c>
      <c r="Q43" s="205">
        <v>0.12</v>
      </c>
      <c r="R43" s="206">
        <v>0.12</v>
      </c>
      <c r="S43" s="206">
        <v>0.12</v>
      </c>
      <c r="T43" s="206">
        <v>0.12</v>
      </c>
      <c r="U43" s="206">
        <v>0.12</v>
      </c>
      <c r="V43" s="206">
        <v>0.12</v>
      </c>
      <c r="W43" s="206">
        <v>0.12</v>
      </c>
      <c r="X43" s="206">
        <v>0.12</v>
      </c>
      <c r="Y43" s="206">
        <v>0.12</v>
      </c>
      <c r="Z43" s="206">
        <v>0.12</v>
      </c>
      <c r="AA43" s="206">
        <v>0.12</v>
      </c>
    </row>
    <row r="44" spans="2:27" ht="12" customHeight="1">
      <c r="B44" s="181" t="s">
        <v>38</v>
      </c>
      <c r="C44" s="205">
        <v>0.08</v>
      </c>
      <c r="D44" s="205">
        <v>0.08</v>
      </c>
      <c r="E44" s="205">
        <v>0.08</v>
      </c>
      <c r="F44" s="205">
        <v>0.08</v>
      </c>
      <c r="G44" s="205">
        <v>0.08</v>
      </c>
      <c r="H44" s="205">
        <v>0.08</v>
      </c>
      <c r="I44" s="205">
        <v>0.08</v>
      </c>
      <c r="J44" s="205">
        <v>0.08</v>
      </c>
      <c r="K44" s="205">
        <v>0.08</v>
      </c>
      <c r="L44" s="205">
        <v>0.08</v>
      </c>
      <c r="M44" s="205">
        <v>0.08</v>
      </c>
      <c r="N44" s="205">
        <v>0.08</v>
      </c>
      <c r="O44" s="205">
        <v>0.08</v>
      </c>
      <c r="P44" s="205">
        <v>0.08</v>
      </c>
      <c r="Q44" s="205">
        <v>0.08</v>
      </c>
      <c r="R44" s="206">
        <v>0.08</v>
      </c>
      <c r="S44" s="206">
        <v>0.08</v>
      </c>
      <c r="T44" s="206">
        <v>0.08</v>
      </c>
      <c r="U44" s="206">
        <v>0.08</v>
      </c>
      <c r="V44" s="206">
        <v>0.08</v>
      </c>
      <c r="W44" s="206">
        <v>0.08</v>
      </c>
      <c r="X44" s="206">
        <v>0.08</v>
      </c>
      <c r="Y44" s="206">
        <v>0.08</v>
      </c>
      <c r="Z44" s="206">
        <v>0.08</v>
      </c>
      <c r="AA44" s="206">
        <v>0.08</v>
      </c>
    </row>
    <row r="45" spans="2:27" s="3" customFormat="1" ht="12.75" customHeight="1">
      <c r="B45" s="3" t="s">
        <v>39</v>
      </c>
      <c r="C45" s="26">
        <f aca="true" t="shared" si="33" ref="C45:AA45">C43+C42*C44</f>
        <v>0.2</v>
      </c>
      <c r="D45" s="26">
        <f t="shared" si="33"/>
        <v>0.2</v>
      </c>
      <c r="E45" s="26">
        <f t="shared" si="33"/>
        <v>0.2</v>
      </c>
      <c r="F45" s="26">
        <f t="shared" si="33"/>
        <v>0.2</v>
      </c>
      <c r="G45" s="26">
        <f t="shared" si="33"/>
        <v>0.2</v>
      </c>
      <c r="H45" s="26">
        <f t="shared" si="33"/>
        <v>0.2</v>
      </c>
      <c r="I45" s="26">
        <f t="shared" si="33"/>
        <v>0.2</v>
      </c>
      <c r="J45" s="26">
        <f t="shared" si="33"/>
        <v>0.2</v>
      </c>
      <c r="K45" s="26">
        <f t="shared" si="33"/>
        <v>0.2</v>
      </c>
      <c r="L45" s="26">
        <f t="shared" si="33"/>
        <v>0.2</v>
      </c>
      <c r="M45" s="26">
        <f t="shared" si="33"/>
        <v>0.2</v>
      </c>
      <c r="N45" s="26">
        <f t="shared" si="33"/>
        <v>0.2</v>
      </c>
      <c r="O45" s="26">
        <f t="shared" si="33"/>
        <v>0.2</v>
      </c>
      <c r="P45" s="26">
        <f t="shared" si="33"/>
        <v>0.2</v>
      </c>
      <c r="Q45" s="26">
        <f t="shared" si="33"/>
        <v>0.2</v>
      </c>
      <c r="R45" s="23">
        <f t="shared" si="33"/>
        <v>0.2</v>
      </c>
      <c r="S45" s="23">
        <f t="shared" si="33"/>
        <v>0.2</v>
      </c>
      <c r="T45" s="23">
        <f t="shared" si="33"/>
        <v>0.2</v>
      </c>
      <c r="U45" s="23">
        <f t="shared" si="33"/>
        <v>0.2</v>
      </c>
      <c r="V45" s="23">
        <f t="shared" si="33"/>
        <v>0.2</v>
      </c>
      <c r="W45" s="23">
        <f t="shared" si="33"/>
        <v>0.2</v>
      </c>
      <c r="X45" s="23">
        <f t="shared" si="33"/>
        <v>0.2</v>
      </c>
      <c r="Y45" s="23">
        <f t="shared" si="33"/>
        <v>0.2</v>
      </c>
      <c r="Z45" s="23">
        <f t="shared" si="33"/>
        <v>0.2</v>
      </c>
      <c r="AA45" s="23">
        <f t="shared" si="33"/>
        <v>0.2</v>
      </c>
    </row>
    <row r="46" spans="2:27" ht="12.75" customHeight="1" hidden="1">
      <c r="B46" s="198" t="s">
        <v>40</v>
      </c>
      <c r="C46" s="199">
        <f aca="true" t="shared" si="34" ref="C46:O46">NPV(C45,C40:L40)</f>
        <v>1102.0304887195325</v>
      </c>
      <c r="D46" s="199">
        <f t="shared" si="34"/>
        <v>1146.5791881347902</v>
      </c>
      <c r="E46" s="199">
        <f t="shared" si="34"/>
        <v>1771.8697575166668</v>
      </c>
      <c r="F46" s="199">
        <f t="shared" si="34"/>
        <v>1976.7671773626648</v>
      </c>
      <c r="G46" s="199">
        <f t="shared" si="34"/>
        <v>1959.9202545949956</v>
      </c>
      <c r="H46" s="199">
        <f t="shared" si="34"/>
        <v>1982.2189293617828</v>
      </c>
      <c r="I46" s="199">
        <f t="shared" si="34"/>
        <v>2178.7430702743163</v>
      </c>
      <c r="J46" s="199">
        <f t="shared" si="34"/>
        <v>2283.201057121366</v>
      </c>
      <c r="K46" s="199">
        <f t="shared" si="34"/>
        <v>2391.736109977434</v>
      </c>
      <c r="L46" s="199">
        <f t="shared" si="34"/>
        <v>2510.0729154763058</v>
      </c>
      <c r="M46" s="199">
        <f t="shared" si="34"/>
        <v>2635.5765612501204</v>
      </c>
      <c r="N46" s="199">
        <f t="shared" si="34"/>
        <v>2767.3553893126264</v>
      </c>
      <c r="O46" s="199">
        <f t="shared" si="34"/>
        <v>2905.7231587782594</v>
      </c>
      <c r="P46" s="27"/>
      <c r="Q46" s="27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2:27" ht="12.75" customHeight="1" hidden="1">
      <c r="B47" s="198" t="s">
        <v>41</v>
      </c>
      <c r="C47" s="199">
        <f aca="true" t="shared" si="35" ref="C47:O47">M40/(C45-$N$5)/(1+C45)^10</f>
        <v>577.6173444756752</v>
      </c>
      <c r="D47" s="199">
        <f t="shared" si="35"/>
        <v>606.498211699457</v>
      </c>
      <c r="E47" s="199">
        <f t="shared" si="35"/>
        <v>636.8231222844307</v>
      </c>
      <c r="F47" s="199">
        <f t="shared" si="35"/>
        <v>668.6642783986533</v>
      </c>
      <c r="G47" s="199">
        <f t="shared" si="35"/>
        <v>702.0974923185847</v>
      </c>
      <c r="H47" s="199">
        <f t="shared" si="35"/>
        <v>737.2023669345148</v>
      </c>
      <c r="I47" s="199">
        <f t="shared" si="35"/>
        <v>774.0624852812406</v>
      </c>
      <c r="J47" s="199">
        <f t="shared" si="35"/>
        <v>812.7656095453015</v>
      </c>
      <c r="K47" s="199">
        <f t="shared" si="35"/>
        <v>853.403890022569</v>
      </c>
      <c r="L47" s="199">
        <f t="shared" si="35"/>
        <v>896.0740845236969</v>
      </c>
      <c r="M47" s="199">
        <f t="shared" si="35"/>
        <v>940.8777887498819</v>
      </c>
      <c r="N47" s="199">
        <f t="shared" si="35"/>
        <v>987.9216781873752</v>
      </c>
      <c r="O47" s="199">
        <f t="shared" si="35"/>
        <v>1037.3177620967413</v>
      </c>
      <c r="P47" s="27"/>
      <c r="Q47" s="27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2:27" s="3" customFormat="1" ht="13.5" customHeight="1">
      <c r="B48" s="18" t="s">
        <v>42</v>
      </c>
      <c r="C48" s="29">
        <f aca="true" t="shared" si="36" ref="C48:O48">C46+C47</f>
        <v>1679.6478331952076</v>
      </c>
      <c r="D48" s="29">
        <f t="shared" si="36"/>
        <v>1753.0773998342472</v>
      </c>
      <c r="E48" s="29">
        <f t="shared" si="36"/>
        <v>2408.6928798010977</v>
      </c>
      <c r="F48" s="29">
        <f t="shared" si="36"/>
        <v>2645.431455761318</v>
      </c>
      <c r="G48" s="29">
        <f t="shared" si="36"/>
        <v>2662.0177469135806</v>
      </c>
      <c r="H48" s="29">
        <f t="shared" si="36"/>
        <v>2719.4212962962974</v>
      </c>
      <c r="I48" s="29">
        <f t="shared" si="36"/>
        <v>2952.805555555557</v>
      </c>
      <c r="J48" s="29">
        <f t="shared" si="36"/>
        <v>3095.966666666667</v>
      </c>
      <c r="K48" s="29">
        <f t="shared" si="36"/>
        <v>3245.140000000003</v>
      </c>
      <c r="L48" s="29">
        <f t="shared" si="36"/>
        <v>3406.1470000000027</v>
      </c>
      <c r="M48" s="29">
        <f t="shared" si="36"/>
        <v>3576.4543500000023</v>
      </c>
      <c r="N48" s="29">
        <f t="shared" si="36"/>
        <v>3755.2770675000015</v>
      </c>
      <c r="O48" s="29">
        <f t="shared" si="36"/>
        <v>3943.0409208750007</v>
      </c>
      <c r="P48" s="29">
        <f aca="true" t="shared" si="37" ref="P48:AA48">P40/(P45-P41)</f>
        <v>4140.192966918799</v>
      </c>
      <c r="Q48" s="29">
        <f t="shared" si="37"/>
        <v>4347.202615264731</v>
      </c>
      <c r="R48" s="22">
        <f t="shared" si="37"/>
        <v>4564.562746027865</v>
      </c>
      <c r="S48" s="22">
        <f t="shared" si="37"/>
        <v>4792.790883329358</v>
      </c>
      <c r="T48" s="22">
        <f t="shared" si="37"/>
        <v>5032.430427495781</v>
      </c>
      <c r="U48" s="22">
        <f t="shared" si="37"/>
        <v>5284.051948870531</v>
      </c>
      <c r="V48" s="22">
        <f t="shared" si="37"/>
        <v>5548.254546314227</v>
      </c>
      <c r="W48" s="22">
        <f t="shared" si="37"/>
        <v>5825.667273629792</v>
      </c>
      <c r="X48" s="22">
        <f t="shared" si="37"/>
        <v>6116.950637311304</v>
      </c>
      <c r="Y48" s="22">
        <f t="shared" si="37"/>
        <v>6422.798169176814</v>
      </c>
      <c r="Z48" s="22">
        <f t="shared" si="37"/>
        <v>6743.938077635582</v>
      </c>
      <c r="AA48" s="22">
        <f t="shared" si="37"/>
        <v>0</v>
      </c>
    </row>
    <row r="49" spans="2:27" ht="12.75" customHeight="1">
      <c r="B49" s="181" t="s">
        <v>43</v>
      </c>
      <c r="C49" s="199"/>
      <c r="D49" s="199">
        <f aca="true" t="shared" si="38" ref="D49:AA49">C39+C30+C28-C36</f>
        <v>420</v>
      </c>
      <c r="E49" s="199">
        <f t="shared" si="38"/>
        <v>-130</v>
      </c>
      <c r="F49" s="199">
        <f t="shared" si="38"/>
        <v>420</v>
      </c>
      <c r="G49" s="199">
        <f t="shared" si="38"/>
        <v>670</v>
      </c>
      <c r="H49" s="199">
        <f t="shared" si="38"/>
        <v>720</v>
      </c>
      <c r="I49" s="199">
        <f t="shared" si="38"/>
        <v>580</v>
      </c>
      <c r="J49" s="199">
        <f t="shared" si="38"/>
        <v>726</v>
      </c>
      <c r="K49" s="199">
        <f t="shared" si="38"/>
        <v>760.8000000000002</v>
      </c>
      <c r="L49" s="199">
        <f t="shared" si="38"/>
        <v>793.3400000000001</v>
      </c>
      <c r="M49" s="199">
        <f t="shared" si="38"/>
        <v>831.5070000000005</v>
      </c>
      <c r="N49" s="199">
        <f t="shared" si="38"/>
        <v>873.0823500000007</v>
      </c>
      <c r="O49" s="199">
        <f t="shared" si="38"/>
        <v>916.736467499999</v>
      </c>
      <c r="P49" s="199">
        <f t="shared" si="38"/>
        <v>962.5732908749998</v>
      </c>
      <c r="Q49" s="199">
        <f t="shared" si="38"/>
        <v>1010.7019554187507</v>
      </c>
      <c r="R49" s="187">
        <f t="shared" si="38"/>
        <v>1061.2370531896872</v>
      </c>
      <c r="S49" s="187">
        <f t="shared" si="38"/>
        <v>1114.2989058491723</v>
      </c>
      <c r="T49" s="187">
        <f t="shared" si="38"/>
        <v>1170.013851141631</v>
      </c>
      <c r="U49" s="187">
        <f t="shared" si="38"/>
        <v>1228.5145436987116</v>
      </c>
      <c r="V49" s="187">
        <f t="shared" si="38"/>
        <v>1289.9402708836496</v>
      </c>
      <c r="W49" s="187">
        <f t="shared" si="38"/>
        <v>1354.4372844278314</v>
      </c>
      <c r="X49" s="187">
        <f t="shared" si="38"/>
        <v>1422.159148649223</v>
      </c>
      <c r="Y49" s="187">
        <f t="shared" si="38"/>
        <v>1493.2671060816838</v>
      </c>
      <c r="Z49" s="187">
        <f t="shared" si="38"/>
        <v>1567.9304613857653</v>
      </c>
      <c r="AA49" s="187">
        <f t="shared" si="38"/>
        <v>1646.3269844550564</v>
      </c>
    </row>
    <row r="50" spans="2:27" ht="12.75" customHeight="1" hidden="1">
      <c r="B50" s="198" t="s">
        <v>44</v>
      </c>
      <c r="C50" s="199">
        <f aca="true" t="shared" si="39" ref="C50:AA50">NPV(C45,D49:M49)</f>
        <v>1977.0786939110392</v>
      </c>
      <c r="D50" s="199">
        <f t="shared" si="39"/>
        <v>2093.5021065408337</v>
      </c>
      <c r="E50" s="199">
        <f t="shared" si="39"/>
        <v>2790.260585388966</v>
      </c>
      <c r="F50" s="199">
        <f t="shared" si="39"/>
        <v>3083.7736628837224</v>
      </c>
      <c r="G50" s="199">
        <f t="shared" si="39"/>
        <v>3193.7624038982794</v>
      </c>
      <c r="H50" s="199">
        <f t="shared" si="39"/>
        <v>3283.910593537637</v>
      </c>
      <c r="I50" s="199">
        <f t="shared" si="39"/>
        <v>3540.658206547853</v>
      </c>
      <c r="J50" s="199">
        <f t="shared" si="39"/>
        <v>3711.753616875246</v>
      </c>
      <c r="K50" s="199">
        <f t="shared" si="39"/>
        <v>3891.716297719008</v>
      </c>
      <c r="L50" s="199">
        <f t="shared" si="39"/>
        <v>4085.052112604958</v>
      </c>
      <c r="M50" s="199">
        <f t="shared" si="39"/>
        <v>4289.304718235207</v>
      </c>
      <c r="N50" s="199">
        <f t="shared" si="39"/>
        <v>4503.7699541469665</v>
      </c>
      <c r="O50" s="199">
        <f t="shared" si="39"/>
        <v>4728.958451854315</v>
      </c>
      <c r="P50" s="199">
        <f t="shared" si="39"/>
        <v>4965.406374447032</v>
      </c>
      <c r="Q50" s="199">
        <f t="shared" si="39"/>
        <v>5213.676693169384</v>
      </c>
      <c r="R50" s="187">
        <f t="shared" si="39"/>
        <v>5195.174978613572</v>
      </c>
      <c r="S50" s="187">
        <f t="shared" si="39"/>
        <v>5119.911068487115</v>
      </c>
      <c r="T50" s="187">
        <f t="shared" si="39"/>
        <v>4973.879431042907</v>
      </c>
      <c r="U50" s="187">
        <f t="shared" si="39"/>
        <v>4740.1407735527755</v>
      </c>
      <c r="V50" s="187">
        <f t="shared" si="39"/>
        <v>4398.228657379682</v>
      </c>
      <c r="W50" s="187">
        <f t="shared" si="39"/>
        <v>3923.437104427786</v>
      </c>
      <c r="X50" s="187">
        <f t="shared" si="39"/>
        <v>3285.9653766641204</v>
      </c>
      <c r="Y50" s="187">
        <f t="shared" si="39"/>
        <v>2449.8913459152604</v>
      </c>
      <c r="Z50" s="187">
        <f t="shared" si="39"/>
        <v>1371.939153712547</v>
      </c>
      <c r="AA50" s="187">
        <f t="shared" si="39"/>
        <v>0</v>
      </c>
    </row>
    <row r="51" spans="2:27" ht="12.75" customHeight="1" hidden="1">
      <c r="B51" s="198" t="s">
        <v>45</v>
      </c>
      <c r="C51" s="199">
        <f aca="true" t="shared" si="40" ref="C51:AA51">N49/(C45-$N$5)/(1+C45)^10</f>
        <v>940.0511589839093</v>
      </c>
      <c r="D51" s="199">
        <f t="shared" si="40"/>
        <v>987.0537169331029</v>
      </c>
      <c r="E51" s="199">
        <f t="shared" si="40"/>
        <v>1036.406402779759</v>
      </c>
      <c r="F51" s="199">
        <f t="shared" si="40"/>
        <v>1088.226722918748</v>
      </c>
      <c r="G51" s="199">
        <f t="shared" si="40"/>
        <v>1142.6380590646843</v>
      </c>
      <c r="H51" s="199">
        <f t="shared" si="40"/>
        <v>1199.7699620179194</v>
      </c>
      <c r="I51" s="199">
        <f t="shared" si="40"/>
        <v>1259.7584601188153</v>
      </c>
      <c r="J51" s="199">
        <f t="shared" si="40"/>
        <v>1322.746383124755</v>
      </c>
      <c r="K51" s="199">
        <f t="shared" si="40"/>
        <v>1388.8837022809953</v>
      </c>
      <c r="L51" s="199">
        <f t="shared" si="40"/>
        <v>1458.3278873950446</v>
      </c>
      <c r="M51" s="199">
        <f t="shared" si="40"/>
        <v>1531.2442817647966</v>
      </c>
      <c r="N51" s="199">
        <f t="shared" si="40"/>
        <v>1607.806495853036</v>
      </c>
      <c r="O51" s="199">
        <f t="shared" si="40"/>
        <v>1688.1968206456852</v>
      </c>
      <c r="P51" s="199">
        <f t="shared" si="40"/>
        <v>1772.6066616779724</v>
      </c>
      <c r="Q51" s="199">
        <f t="shared" si="40"/>
        <v>0</v>
      </c>
      <c r="R51" s="187">
        <f t="shared" si="40"/>
        <v>0</v>
      </c>
      <c r="S51" s="187">
        <f t="shared" si="40"/>
        <v>0</v>
      </c>
      <c r="T51" s="187">
        <f t="shared" si="40"/>
        <v>0</v>
      </c>
      <c r="U51" s="187">
        <f t="shared" si="40"/>
        <v>0</v>
      </c>
      <c r="V51" s="187">
        <f t="shared" si="40"/>
        <v>0</v>
      </c>
      <c r="W51" s="187">
        <f t="shared" si="40"/>
        <v>0</v>
      </c>
      <c r="X51" s="187">
        <f t="shared" si="40"/>
        <v>0</v>
      </c>
      <c r="Y51" s="187">
        <f t="shared" si="40"/>
        <v>0</v>
      </c>
      <c r="Z51" s="187">
        <f t="shared" si="40"/>
        <v>0</v>
      </c>
      <c r="AA51" s="187">
        <f t="shared" si="40"/>
        <v>0</v>
      </c>
    </row>
    <row r="52" spans="2:27" s="207" customFormat="1" ht="12.75" customHeight="1">
      <c r="B52" s="208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</row>
    <row r="53" spans="2:27" s="207" customFormat="1" ht="12.75" customHeight="1" thickBot="1">
      <c r="B53" s="208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</row>
    <row r="54" spans="1:27" ht="12" customHeight="1" thickBot="1">
      <c r="A54" s="210"/>
      <c r="B54" s="210"/>
      <c r="C54" s="75">
        <v>0</v>
      </c>
      <c r="D54" s="76">
        <v>1</v>
      </c>
      <c r="E54" s="76">
        <f aca="true" t="shared" si="41" ref="E54:AA54">D54+1</f>
        <v>2</v>
      </c>
      <c r="F54" s="76">
        <f t="shared" si="41"/>
        <v>3</v>
      </c>
      <c r="G54" s="76">
        <f t="shared" si="41"/>
        <v>4</v>
      </c>
      <c r="H54" s="76">
        <f t="shared" si="41"/>
        <v>5</v>
      </c>
      <c r="I54" s="76">
        <f t="shared" si="41"/>
        <v>6</v>
      </c>
      <c r="J54" s="76">
        <f t="shared" si="41"/>
        <v>7</v>
      </c>
      <c r="K54" s="76">
        <f t="shared" si="41"/>
        <v>8</v>
      </c>
      <c r="L54" s="76">
        <f t="shared" si="41"/>
        <v>9</v>
      </c>
      <c r="M54" s="77">
        <f t="shared" si="41"/>
        <v>10</v>
      </c>
      <c r="N54" s="78">
        <f t="shared" si="41"/>
        <v>11</v>
      </c>
      <c r="O54" s="36">
        <f t="shared" si="41"/>
        <v>12</v>
      </c>
      <c r="P54" s="36">
        <f t="shared" si="41"/>
        <v>13</v>
      </c>
      <c r="Q54" s="36">
        <f t="shared" si="41"/>
        <v>14</v>
      </c>
      <c r="R54" s="79">
        <f t="shared" si="41"/>
        <v>15</v>
      </c>
      <c r="S54" s="79">
        <f t="shared" si="41"/>
        <v>16</v>
      </c>
      <c r="T54" s="79">
        <f t="shared" si="41"/>
        <v>17</v>
      </c>
      <c r="U54" s="79">
        <f t="shared" si="41"/>
        <v>18</v>
      </c>
      <c r="V54" s="79">
        <f t="shared" si="41"/>
        <v>19</v>
      </c>
      <c r="W54" s="79">
        <f t="shared" si="41"/>
        <v>20</v>
      </c>
      <c r="X54" s="79">
        <f t="shared" si="41"/>
        <v>21</v>
      </c>
      <c r="Y54" s="13">
        <f t="shared" si="41"/>
        <v>22</v>
      </c>
      <c r="Z54" s="13">
        <f t="shared" si="41"/>
        <v>23</v>
      </c>
      <c r="AA54" s="13">
        <f t="shared" si="41"/>
        <v>24</v>
      </c>
    </row>
    <row r="55" spans="1:27" s="3" customFormat="1" ht="10.5" customHeight="1">
      <c r="A55" s="80">
        <v>35</v>
      </c>
      <c r="B55" s="81" t="s">
        <v>39</v>
      </c>
      <c r="C55" s="82">
        <f aca="true" t="shared" si="42" ref="C55:AA55">C45</f>
        <v>0.2</v>
      </c>
      <c r="D55" s="26">
        <f t="shared" si="42"/>
        <v>0.2</v>
      </c>
      <c r="E55" s="26">
        <f t="shared" si="42"/>
        <v>0.2</v>
      </c>
      <c r="F55" s="26">
        <f t="shared" si="42"/>
        <v>0.2</v>
      </c>
      <c r="G55" s="26">
        <f t="shared" si="42"/>
        <v>0.2</v>
      </c>
      <c r="H55" s="26">
        <f t="shared" si="42"/>
        <v>0.2</v>
      </c>
      <c r="I55" s="26">
        <f t="shared" si="42"/>
        <v>0.2</v>
      </c>
      <c r="J55" s="26">
        <f t="shared" si="42"/>
        <v>0.2</v>
      </c>
      <c r="K55" s="26">
        <f t="shared" si="42"/>
        <v>0.2</v>
      </c>
      <c r="L55" s="26">
        <f t="shared" si="42"/>
        <v>0.2</v>
      </c>
      <c r="M55" s="83">
        <f t="shared" si="42"/>
        <v>0.2</v>
      </c>
      <c r="N55" s="82">
        <f t="shared" si="42"/>
        <v>0.2</v>
      </c>
      <c r="O55" s="26">
        <f t="shared" si="42"/>
        <v>0.2</v>
      </c>
      <c r="P55" s="26">
        <f t="shared" si="42"/>
        <v>0.2</v>
      </c>
      <c r="Q55" s="26">
        <f t="shared" si="42"/>
        <v>0.2</v>
      </c>
      <c r="R55" s="26">
        <f t="shared" si="42"/>
        <v>0.2</v>
      </c>
      <c r="S55" s="26">
        <f t="shared" si="42"/>
        <v>0.2</v>
      </c>
      <c r="T55" s="26">
        <f t="shared" si="42"/>
        <v>0.2</v>
      </c>
      <c r="U55" s="26">
        <f t="shared" si="42"/>
        <v>0.2</v>
      </c>
      <c r="V55" s="26">
        <f t="shared" si="42"/>
        <v>0.2</v>
      </c>
      <c r="W55" s="26">
        <f t="shared" si="42"/>
        <v>0.2</v>
      </c>
      <c r="X55" s="26">
        <f t="shared" si="42"/>
        <v>0.2</v>
      </c>
      <c r="Y55" s="26">
        <f t="shared" si="42"/>
        <v>0.2</v>
      </c>
      <c r="Z55" s="26">
        <f t="shared" si="42"/>
        <v>0.2</v>
      </c>
      <c r="AA55" s="26">
        <f t="shared" si="42"/>
        <v>0.2</v>
      </c>
    </row>
    <row r="56" spans="1:27" ht="10.5" customHeight="1">
      <c r="A56" s="84">
        <v>38</v>
      </c>
      <c r="B56" s="211" t="s">
        <v>46</v>
      </c>
      <c r="C56" s="212">
        <f aca="true" t="shared" si="43" ref="C56:AA56">C50+C51</f>
        <v>2917.1298528949483</v>
      </c>
      <c r="D56" s="213">
        <f t="shared" si="43"/>
        <v>3080.5558234739365</v>
      </c>
      <c r="E56" s="213">
        <f t="shared" si="43"/>
        <v>3826.666988168725</v>
      </c>
      <c r="F56" s="213">
        <f t="shared" si="43"/>
        <v>4172.00038580247</v>
      </c>
      <c r="G56" s="213">
        <f t="shared" si="43"/>
        <v>4336.4004629629635</v>
      </c>
      <c r="H56" s="213">
        <f t="shared" si="43"/>
        <v>4483.680555555557</v>
      </c>
      <c r="I56" s="213">
        <f t="shared" si="43"/>
        <v>4800.416666666668</v>
      </c>
      <c r="J56" s="213">
        <f t="shared" si="43"/>
        <v>5034.500000000001</v>
      </c>
      <c r="K56" s="213">
        <f t="shared" si="43"/>
        <v>5280.600000000003</v>
      </c>
      <c r="L56" s="213">
        <f t="shared" si="43"/>
        <v>5543.380000000003</v>
      </c>
      <c r="M56" s="214">
        <f t="shared" si="43"/>
        <v>5820.549000000003</v>
      </c>
      <c r="N56" s="212">
        <f t="shared" si="43"/>
        <v>6111.576450000002</v>
      </c>
      <c r="O56" s="213">
        <f t="shared" si="43"/>
        <v>6417.1552725</v>
      </c>
      <c r="P56" s="215">
        <f t="shared" si="43"/>
        <v>6738.013036125005</v>
      </c>
      <c r="Q56" s="215">
        <f t="shared" si="43"/>
        <v>5213.676693169384</v>
      </c>
      <c r="R56" s="216">
        <f t="shared" si="43"/>
        <v>5195.174978613572</v>
      </c>
      <c r="S56" s="216">
        <f t="shared" si="43"/>
        <v>5119.911068487115</v>
      </c>
      <c r="T56" s="216">
        <f t="shared" si="43"/>
        <v>4973.879431042907</v>
      </c>
      <c r="U56" s="216">
        <f t="shared" si="43"/>
        <v>4740.1407735527755</v>
      </c>
      <c r="V56" s="216">
        <f t="shared" si="43"/>
        <v>4398.228657379682</v>
      </c>
      <c r="W56" s="216">
        <f t="shared" si="43"/>
        <v>3923.437104427786</v>
      </c>
      <c r="X56" s="216">
        <f t="shared" si="43"/>
        <v>3285.9653766641204</v>
      </c>
      <c r="Y56" s="216">
        <f t="shared" si="43"/>
        <v>2449.8913459152604</v>
      </c>
      <c r="Z56" s="216">
        <f t="shared" si="43"/>
        <v>1371.939153712547</v>
      </c>
      <c r="AA56" s="216">
        <f t="shared" si="43"/>
        <v>0</v>
      </c>
    </row>
    <row r="57" spans="1:27" s="201" customFormat="1" ht="10.5" customHeight="1">
      <c r="A57" s="88">
        <v>9</v>
      </c>
      <c r="B57" s="217" t="s">
        <v>47</v>
      </c>
      <c r="C57" s="218">
        <f aca="true" t="shared" si="44" ref="C57:AA57">C16</f>
        <v>1800</v>
      </c>
      <c r="D57" s="193">
        <f t="shared" si="44"/>
        <v>1800</v>
      </c>
      <c r="E57" s="193">
        <f t="shared" si="44"/>
        <v>2300</v>
      </c>
      <c r="F57" s="193">
        <f t="shared" si="44"/>
        <v>2300</v>
      </c>
      <c r="G57" s="193">
        <f t="shared" si="44"/>
        <v>2050</v>
      </c>
      <c r="H57" s="193">
        <f t="shared" si="44"/>
        <v>1800</v>
      </c>
      <c r="I57" s="193">
        <f t="shared" si="44"/>
        <v>1700</v>
      </c>
      <c r="J57" s="193">
        <f t="shared" si="44"/>
        <v>1450</v>
      </c>
      <c r="K57" s="193">
        <f t="shared" si="44"/>
        <v>1200</v>
      </c>
      <c r="L57" s="193">
        <f t="shared" si="44"/>
        <v>1000</v>
      </c>
      <c r="M57" s="219">
        <f t="shared" si="44"/>
        <v>1050</v>
      </c>
      <c r="N57" s="218">
        <f t="shared" si="44"/>
        <v>1102.5</v>
      </c>
      <c r="O57" s="193">
        <f t="shared" si="44"/>
        <v>1157.625</v>
      </c>
      <c r="P57" s="193">
        <f t="shared" si="44"/>
        <v>1215.5062500000001</v>
      </c>
      <c r="Q57" s="193">
        <f t="shared" si="44"/>
        <v>1276.2815625000003</v>
      </c>
      <c r="R57" s="201">
        <f t="shared" si="44"/>
        <v>1340.0956406250004</v>
      </c>
      <c r="S57" s="201">
        <f t="shared" si="44"/>
        <v>1407.1004226562504</v>
      </c>
      <c r="T57" s="201">
        <f t="shared" si="44"/>
        <v>1477.455443789063</v>
      </c>
      <c r="U57" s="201">
        <f t="shared" si="44"/>
        <v>1551.3282159785163</v>
      </c>
      <c r="V57" s="201">
        <f t="shared" si="44"/>
        <v>1628.8946267774422</v>
      </c>
      <c r="W57" s="201">
        <f t="shared" si="44"/>
        <v>1710.3393581163143</v>
      </c>
      <c r="X57" s="201">
        <f t="shared" si="44"/>
        <v>1795.8563260221301</v>
      </c>
      <c r="Y57" s="201">
        <f t="shared" si="44"/>
        <v>1885.6491423232367</v>
      </c>
      <c r="Z57" s="201">
        <f t="shared" si="44"/>
        <v>1979.9315994393985</v>
      </c>
      <c r="AA57" s="201">
        <f t="shared" si="44"/>
        <v>2078.9281794113685</v>
      </c>
    </row>
    <row r="58" spans="1:27" ht="10.5" customHeight="1">
      <c r="A58" s="92">
        <v>39</v>
      </c>
      <c r="B58" s="93" t="s">
        <v>48</v>
      </c>
      <c r="C58" s="94">
        <v>0.15</v>
      </c>
      <c r="D58" s="95">
        <f aca="true" t="shared" si="45" ref="D58:AA58">C58</f>
        <v>0.15</v>
      </c>
      <c r="E58" s="95">
        <f t="shared" si="45"/>
        <v>0.15</v>
      </c>
      <c r="F58" s="95">
        <f t="shared" si="45"/>
        <v>0.15</v>
      </c>
      <c r="G58" s="95">
        <f t="shared" si="45"/>
        <v>0.15</v>
      </c>
      <c r="H58" s="95">
        <f t="shared" si="45"/>
        <v>0.15</v>
      </c>
      <c r="I58" s="95">
        <f t="shared" si="45"/>
        <v>0.15</v>
      </c>
      <c r="J58" s="95">
        <f t="shared" si="45"/>
        <v>0.15</v>
      </c>
      <c r="K58" s="95">
        <f t="shared" si="45"/>
        <v>0.15</v>
      </c>
      <c r="L58" s="95">
        <f t="shared" si="45"/>
        <v>0.15</v>
      </c>
      <c r="M58" s="96">
        <f t="shared" si="45"/>
        <v>0.15</v>
      </c>
      <c r="N58" s="97">
        <f t="shared" si="45"/>
        <v>0.15</v>
      </c>
      <c r="O58" s="64">
        <f t="shared" si="45"/>
        <v>0.15</v>
      </c>
      <c r="P58" s="64">
        <f t="shared" si="45"/>
        <v>0.15</v>
      </c>
      <c r="Q58" s="64">
        <f t="shared" si="45"/>
        <v>0.15</v>
      </c>
      <c r="R58" s="4">
        <f t="shared" si="45"/>
        <v>0.15</v>
      </c>
      <c r="S58" s="4">
        <f t="shared" si="45"/>
        <v>0.15</v>
      </c>
      <c r="T58" s="4">
        <f t="shared" si="45"/>
        <v>0.15</v>
      </c>
      <c r="U58" s="4">
        <f t="shared" si="45"/>
        <v>0.15</v>
      </c>
      <c r="V58" s="4">
        <f t="shared" si="45"/>
        <v>0.15</v>
      </c>
      <c r="W58" s="4">
        <f t="shared" si="45"/>
        <v>0.15</v>
      </c>
      <c r="X58" s="4">
        <f t="shared" si="45"/>
        <v>0.15</v>
      </c>
      <c r="Y58" s="4">
        <f t="shared" si="45"/>
        <v>0.15</v>
      </c>
      <c r="Z58" s="4">
        <f t="shared" si="45"/>
        <v>0.15</v>
      </c>
      <c r="AA58" s="4">
        <f t="shared" si="45"/>
        <v>0.15</v>
      </c>
    </row>
    <row r="59" spans="1:27" ht="10.5" customHeight="1" hidden="1">
      <c r="A59" s="92">
        <v>50</v>
      </c>
      <c r="B59" s="93"/>
      <c r="C59" s="220">
        <f>(C58-C43)/C44</f>
        <v>0.375</v>
      </c>
      <c r="D59" s="221">
        <f aca="true" t="shared" si="46" ref="D59:AA59">(D58-D43)/D44</f>
        <v>0.375</v>
      </c>
      <c r="E59" s="221">
        <f t="shared" si="46"/>
        <v>0.375</v>
      </c>
      <c r="F59" s="221">
        <f t="shared" si="46"/>
        <v>0.375</v>
      </c>
      <c r="G59" s="221">
        <f t="shared" si="46"/>
        <v>0.375</v>
      </c>
      <c r="H59" s="221">
        <f t="shared" si="46"/>
        <v>0.375</v>
      </c>
      <c r="I59" s="221">
        <f t="shared" si="46"/>
        <v>0.375</v>
      </c>
      <c r="J59" s="221">
        <f t="shared" si="46"/>
        <v>0.375</v>
      </c>
      <c r="K59" s="221">
        <f t="shared" si="46"/>
        <v>0.375</v>
      </c>
      <c r="L59" s="221">
        <f t="shared" si="46"/>
        <v>0.375</v>
      </c>
      <c r="M59" s="222">
        <f t="shared" si="46"/>
        <v>0.375</v>
      </c>
      <c r="N59" s="220">
        <f t="shared" si="46"/>
        <v>0.375</v>
      </c>
      <c r="O59" s="221">
        <f t="shared" si="46"/>
        <v>0.375</v>
      </c>
      <c r="P59" s="203">
        <f t="shared" si="46"/>
        <v>0.375</v>
      </c>
      <c r="Q59" s="203">
        <f t="shared" si="46"/>
        <v>0.375</v>
      </c>
      <c r="R59" s="204">
        <f t="shared" si="46"/>
        <v>0.375</v>
      </c>
      <c r="S59" s="204">
        <f t="shared" si="46"/>
        <v>0.375</v>
      </c>
      <c r="T59" s="204">
        <f t="shared" si="46"/>
        <v>0.375</v>
      </c>
      <c r="U59" s="204">
        <f t="shared" si="46"/>
        <v>0.375</v>
      </c>
      <c r="V59" s="204">
        <f t="shared" si="46"/>
        <v>0.375</v>
      </c>
      <c r="W59" s="204">
        <f t="shared" si="46"/>
        <v>0.375</v>
      </c>
      <c r="X59" s="204">
        <f t="shared" si="46"/>
        <v>0.375</v>
      </c>
      <c r="Y59" s="204">
        <f t="shared" si="46"/>
        <v>0.375</v>
      </c>
      <c r="Z59" s="204">
        <f t="shared" si="46"/>
        <v>0.375</v>
      </c>
      <c r="AA59" s="204">
        <f t="shared" si="46"/>
        <v>0.375</v>
      </c>
    </row>
    <row r="60" spans="1:27" ht="10.5" customHeight="1" hidden="1">
      <c r="A60" s="92"/>
      <c r="B60" s="93"/>
      <c r="C60" s="220"/>
      <c r="D60" s="203"/>
      <c r="E60" s="223"/>
      <c r="F60" s="221"/>
      <c r="G60" s="221"/>
      <c r="H60" s="221"/>
      <c r="I60" s="221"/>
      <c r="J60" s="221"/>
      <c r="K60" s="221"/>
      <c r="L60" s="221"/>
      <c r="M60" s="222"/>
      <c r="N60" s="220"/>
      <c r="O60" s="221"/>
      <c r="P60" s="203"/>
      <c r="Q60" s="203"/>
      <c r="R60" s="204"/>
      <c r="S60" s="204"/>
      <c r="T60" s="204"/>
      <c r="U60" s="204"/>
      <c r="V60" s="204"/>
      <c r="W60" s="204"/>
      <c r="X60" s="204"/>
      <c r="Y60" s="204"/>
      <c r="Z60" s="204"/>
      <c r="AA60" s="204"/>
    </row>
    <row r="61" spans="1:27" ht="10.5" customHeight="1" hidden="1">
      <c r="A61" s="92"/>
      <c r="B61" s="224" t="s">
        <v>50</v>
      </c>
      <c r="C61" s="225"/>
      <c r="D61" s="200">
        <f aca="true" t="shared" si="47" ref="D61:AA61">D118</f>
        <v>270</v>
      </c>
      <c r="E61" s="200">
        <f t="shared" si="47"/>
        <v>-230</v>
      </c>
      <c r="F61" s="200">
        <f t="shared" si="47"/>
        <v>345</v>
      </c>
      <c r="G61" s="200">
        <f t="shared" si="47"/>
        <v>595</v>
      </c>
      <c r="H61" s="200">
        <f t="shared" si="47"/>
        <v>557.5</v>
      </c>
      <c r="I61" s="200">
        <f t="shared" si="47"/>
        <v>370</v>
      </c>
      <c r="J61" s="200">
        <f t="shared" si="47"/>
        <v>505</v>
      </c>
      <c r="K61" s="200">
        <f t="shared" si="47"/>
        <v>467.5</v>
      </c>
      <c r="L61" s="200">
        <f t="shared" si="47"/>
        <v>380</v>
      </c>
      <c r="M61" s="226">
        <f t="shared" si="47"/>
        <v>100</v>
      </c>
      <c r="N61" s="225">
        <f t="shared" si="47"/>
        <v>105</v>
      </c>
      <c r="O61" s="200">
        <f t="shared" si="47"/>
        <v>110.25</v>
      </c>
      <c r="P61" s="200">
        <f t="shared" si="47"/>
        <v>115.76249999999985</v>
      </c>
      <c r="Q61" s="200">
        <f t="shared" si="47"/>
        <v>121.55062499999985</v>
      </c>
      <c r="R61" s="181">
        <f t="shared" si="47"/>
        <v>127.62815624999988</v>
      </c>
      <c r="S61" s="181">
        <f t="shared" si="47"/>
        <v>134.00956406250006</v>
      </c>
      <c r="T61" s="181">
        <f t="shared" si="47"/>
        <v>140.71004226562488</v>
      </c>
      <c r="U61" s="181">
        <f t="shared" si="47"/>
        <v>147.74554437890632</v>
      </c>
      <c r="V61" s="181">
        <f t="shared" si="47"/>
        <v>155.13282159785146</v>
      </c>
      <c r="W61" s="181">
        <f t="shared" si="47"/>
        <v>162.88946267774423</v>
      </c>
      <c r="X61" s="181">
        <f t="shared" si="47"/>
        <v>171.0339358116313</v>
      </c>
      <c r="Y61" s="181">
        <f t="shared" si="47"/>
        <v>179.58563260221297</v>
      </c>
      <c r="Z61" s="181">
        <f t="shared" si="47"/>
        <v>188.56491423232364</v>
      </c>
      <c r="AA61" s="181">
        <f t="shared" si="47"/>
        <v>197.9931599439397</v>
      </c>
    </row>
    <row r="62" spans="1:27" ht="10.5" customHeight="1" hidden="1">
      <c r="A62" s="92"/>
      <c r="B62" s="227" t="s">
        <v>51</v>
      </c>
      <c r="C62" s="228">
        <v>1</v>
      </c>
      <c r="D62" s="203">
        <f>1/(1+C68)</f>
        <v>0.8526093034069097</v>
      </c>
      <c r="E62" s="223">
        <f aca="true" t="shared" si="48" ref="E62:AA62">D62/(1+D68)</f>
        <v>0.7278530455662124</v>
      </c>
      <c r="F62" s="223">
        <f t="shared" si="48"/>
        <v>0.6207080985891018</v>
      </c>
      <c r="G62" s="223">
        <f t="shared" si="48"/>
        <v>0.5308747184120404</v>
      </c>
      <c r="H62" s="223">
        <f t="shared" si="48"/>
        <v>0.4561893324473562</v>
      </c>
      <c r="I62" s="223">
        <f t="shared" si="48"/>
        <v>0.39409399475336476</v>
      </c>
      <c r="J62" s="223">
        <f t="shared" si="48"/>
        <v>0.34180353666915014</v>
      </c>
      <c r="K62" s="223">
        <f t="shared" si="48"/>
        <v>0.29804199406547316</v>
      </c>
      <c r="L62" s="223">
        <f t="shared" si="48"/>
        <v>0.26115959729500665</v>
      </c>
      <c r="M62" s="229">
        <f t="shared" si="48"/>
        <v>0.2296974669128301</v>
      </c>
      <c r="N62" s="230">
        <f t="shared" si="48"/>
        <v>0.20202560753136628</v>
      </c>
      <c r="O62" s="223">
        <f t="shared" si="48"/>
        <v>0.1776874018114733</v>
      </c>
      <c r="P62" s="223">
        <f t="shared" si="48"/>
        <v>0.15628124151345518</v>
      </c>
      <c r="Q62" s="223">
        <f t="shared" si="48"/>
        <v>0.13745390050162723</v>
      </c>
      <c r="R62" s="231">
        <f t="shared" si="48"/>
        <v>0.12089470610895152</v>
      </c>
      <c r="S62" s="231">
        <f t="shared" si="48"/>
        <v>0.10633041268259052</v>
      </c>
      <c r="T62" s="231">
        <f t="shared" si="48"/>
        <v>0.09352069271801518</v>
      </c>
      <c r="U62" s="231">
        <f t="shared" si="48"/>
        <v>0.0822541711802217</v>
      </c>
      <c r="V62" s="231">
        <f t="shared" si="48"/>
        <v>0.07234493757382003</v>
      </c>
      <c r="W62" s="231">
        <f t="shared" si="48"/>
        <v>0.06362947820715992</v>
      </c>
      <c r="X62" s="231">
        <f t="shared" si="48"/>
        <v>0.055963978029342776</v>
      </c>
      <c r="Y62" s="231">
        <f t="shared" si="48"/>
        <v>0.04922194751734324</v>
      </c>
      <c r="Z62" s="231">
        <f t="shared" si="48"/>
        <v>0.04329213545416269</v>
      </c>
      <c r="AA62" s="231">
        <f t="shared" si="48"/>
        <v>0.03807669315646637</v>
      </c>
    </row>
    <row r="63" spans="1:27" ht="10.5" customHeight="1" hidden="1">
      <c r="A63" s="92"/>
      <c r="B63" s="227" t="s">
        <v>52</v>
      </c>
      <c r="C63" s="232"/>
      <c r="D63" s="199">
        <f aca="true" t="shared" si="49" ref="D63:AA63">D61*D62</f>
        <v>230.2045119198656</v>
      </c>
      <c r="E63" s="199">
        <f t="shared" si="49"/>
        <v>-167.40620048022888</v>
      </c>
      <c r="F63" s="199">
        <f t="shared" si="49"/>
        <v>214.1442940132401</v>
      </c>
      <c r="G63" s="199">
        <f t="shared" si="49"/>
        <v>315.870457455164</v>
      </c>
      <c r="H63" s="199">
        <f t="shared" si="49"/>
        <v>254.3255528394011</v>
      </c>
      <c r="I63" s="199">
        <f t="shared" si="49"/>
        <v>145.81477805874496</v>
      </c>
      <c r="J63" s="199">
        <f t="shared" si="49"/>
        <v>172.61078601792082</v>
      </c>
      <c r="K63" s="199">
        <f t="shared" si="49"/>
        <v>139.33463222560871</v>
      </c>
      <c r="L63" s="199">
        <f t="shared" si="49"/>
        <v>99.24064697210252</v>
      </c>
      <c r="M63" s="233">
        <f t="shared" si="49"/>
        <v>22.96974669128301</v>
      </c>
      <c r="N63" s="232">
        <f t="shared" si="49"/>
        <v>21.21268879079346</v>
      </c>
      <c r="O63" s="199">
        <f t="shared" si="49"/>
        <v>19.590036049714932</v>
      </c>
      <c r="P63" s="199">
        <f t="shared" si="49"/>
        <v>18.09150722070133</v>
      </c>
      <c r="Q63" s="199">
        <f t="shared" si="49"/>
        <v>16.707607514660584</v>
      </c>
      <c r="R63" s="187">
        <f t="shared" si="49"/>
        <v>15.42956844107108</v>
      </c>
      <c r="S63" s="187">
        <f t="shared" si="49"/>
        <v>14.249292250179684</v>
      </c>
      <c r="T63" s="187">
        <f t="shared" si="49"/>
        <v>13.159300625062432</v>
      </c>
      <c r="U63" s="187">
        <f t="shared" si="49"/>
        <v>12.152687298457602</v>
      </c>
      <c r="V63" s="187">
        <f t="shared" si="49"/>
        <v>11.223074294147123</v>
      </c>
      <c r="W63" s="187">
        <f t="shared" si="49"/>
        <v>10.364571515629516</v>
      </c>
      <c r="X63" s="187">
        <f t="shared" si="49"/>
        <v>9.571739426034156</v>
      </c>
      <c r="Y63" s="187">
        <f t="shared" si="49"/>
        <v>8.839554582815012</v>
      </c>
      <c r="Z63" s="187">
        <f t="shared" si="49"/>
        <v>8.163377808848326</v>
      </c>
      <c r="AA63" s="187">
        <f t="shared" si="49"/>
        <v>7.53892479826456</v>
      </c>
    </row>
    <row r="64" spans="1:27" ht="10.5" customHeight="1" hidden="1">
      <c r="A64" s="92"/>
      <c r="B64" s="227" t="s">
        <v>53</v>
      </c>
      <c r="C64" s="232">
        <f>SUM(D63:M63)</f>
        <v>1427.1092057131018</v>
      </c>
      <c r="D64" s="199">
        <f aca="true" t="shared" si="50" ref="D64:AA64">SUM(E63:N63)/D62</f>
        <v>1428.6935149740918</v>
      </c>
      <c r="E64" s="199">
        <f t="shared" si="50"/>
        <v>1930.4908149706314</v>
      </c>
      <c r="F64" s="199">
        <f t="shared" si="50"/>
        <v>1947.8734610836975</v>
      </c>
      <c r="G64" s="199">
        <f t="shared" si="50"/>
        <v>1713.9599058373522</v>
      </c>
      <c r="H64" s="199">
        <f t="shared" si="50"/>
        <v>1470.884894179402</v>
      </c>
      <c r="I64" s="199">
        <f t="shared" si="50"/>
        <v>1368.8016548225528</v>
      </c>
      <c r="J64" s="199">
        <f t="shared" si="50"/>
        <v>1111.7059539058703</v>
      </c>
      <c r="K64" s="199">
        <f t="shared" si="50"/>
        <v>848.2129595418405</v>
      </c>
      <c r="L64" s="199">
        <f t="shared" si="50"/>
        <v>630.9762722980807</v>
      </c>
      <c r="M64" s="233">
        <f t="shared" si="50"/>
        <v>662.5250859129848</v>
      </c>
      <c r="N64" s="232">
        <f t="shared" si="50"/>
        <v>695.651340208634</v>
      </c>
      <c r="O64" s="199">
        <f t="shared" si="50"/>
        <v>730.4339072190655</v>
      </c>
      <c r="P64" s="199">
        <f t="shared" si="50"/>
        <v>766.9556025800192</v>
      </c>
      <c r="Q64" s="199">
        <f t="shared" si="50"/>
        <v>805.3033827090201</v>
      </c>
      <c r="R64" s="187">
        <f t="shared" si="50"/>
        <v>787.979272753158</v>
      </c>
      <c r="S64" s="187">
        <f t="shared" si="50"/>
        <v>761.900836321338</v>
      </c>
      <c r="T64" s="187">
        <f t="shared" si="50"/>
        <v>725.5499050759852</v>
      </c>
      <c r="U64" s="187">
        <f t="shared" si="50"/>
        <v>677.1844105473431</v>
      </c>
      <c r="V64" s="187">
        <f t="shared" si="50"/>
        <v>614.8069183998742</v>
      </c>
      <c r="W64" s="187">
        <f t="shared" si="50"/>
        <v>536.1288128891715</v>
      </c>
      <c r="X64" s="187">
        <f t="shared" si="50"/>
        <v>438.52953371292193</v>
      </c>
      <c r="Y64" s="187">
        <f t="shared" si="50"/>
        <v>319.01018547834207</v>
      </c>
      <c r="Z64" s="187">
        <f t="shared" si="50"/>
        <v>174.1407467932993</v>
      </c>
      <c r="AA64" s="187">
        <f t="shared" si="50"/>
        <v>0</v>
      </c>
    </row>
    <row r="65" spans="1:27" ht="10.5" customHeight="1" hidden="1">
      <c r="A65" s="92"/>
      <c r="B65" s="227" t="s">
        <v>41</v>
      </c>
      <c r="C65" s="232">
        <f>N61/(N68-$N$5)*M62</f>
        <v>277.31020590145965</v>
      </c>
      <c r="D65" s="199">
        <f aca="true" t="shared" si="51" ref="D65:AA65">O61/(O68-$N$5)*N62/D62</f>
        <v>300.3691328341549</v>
      </c>
      <c r="E65" s="199">
        <f t="shared" si="51"/>
        <v>324.9385057899522</v>
      </c>
      <c r="F65" s="199">
        <f t="shared" si="51"/>
        <v>351.88194633954237</v>
      </c>
      <c r="G65" s="199">
        <f t="shared" si="51"/>
        <v>379.95474135393374</v>
      </c>
      <c r="H65" s="199">
        <f t="shared" si="51"/>
        <v>408.3365932411731</v>
      </c>
      <c r="I65" s="199">
        <f t="shared" si="51"/>
        <v>436.51897243955574</v>
      </c>
      <c r="J65" s="199">
        <f t="shared" si="51"/>
        <v>464.7997693571416</v>
      </c>
      <c r="K65" s="199">
        <f t="shared" si="51"/>
        <v>492.2712927446994</v>
      </c>
      <c r="L65" s="199">
        <f t="shared" si="51"/>
        <v>518.8185493471129</v>
      </c>
      <c r="M65" s="233">
        <f t="shared" si="51"/>
        <v>544.7594768144679</v>
      </c>
      <c r="N65" s="232">
        <f t="shared" si="51"/>
        <v>571.9974506551919</v>
      </c>
      <c r="O65" s="199">
        <f t="shared" si="51"/>
        <v>600.5973231879516</v>
      </c>
      <c r="P65" s="199">
        <f t="shared" si="51"/>
        <v>630.627189347349</v>
      </c>
      <c r="Q65" s="199">
        <f t="shared" si="51"/>
        <v>0</v>
      </c>
      <c r="R65" s="187">
        <f t="shared" si="51"/>
        <v>0</v>
      </c>
      <c r="S65" s="187">
        <f t="shared" si="51"/>
        <v>0</v>
      </c>
      <c r="T65" s="187">
        <f t="shared" si="51"/>
        <v>0</v>
      </c>
      <c r="U65" s="187">
        <f t="shared" si="51"/>
        <v>0</v>
      </c>
      <c r="V65" s="187">
        <f t="shared" si="51"/>
        <v>0</v>
      </c>
      <c r="W65" s="187">
        <f t="shared" si="51"/>
        <v>0</v>
      </c>
      <c r="X65" s="187">
        <f t="shared" si="51"/>
        <v>0</v>
      </c>
      <c r="Y65" s="187">
        <f t="shared" si="51"/>
        <v>0</v>
      </c>
      <c r="Z65" s="187">
        <f t="shared" si="51"/>
        <v>0</v>
      </c>
      <c r="AA65" s="187">
        <f t="shared" si="51"/>
        <v>0</v>
      </c>
    </row>
    <row r="66" spans="1:27" s="235" customFormat="1" ht="10.5" customHeight="1" thickBot="1">
      <c r="A66" s="113" t="s">
        <v>54</v>
      </c>
      <c r="B66" s="114" t="s">
        <v>55</v>
      </c>
      <c r="C66" s="115">
        <f aca="true" t="shared" si="52" ref="C66:P66">C64+C65</f>
        <v>1704.4194116145613</v>
      </c>
      <c r="D66" s="116">
        <f t="shared" si="52"/>
        <v>1729.0626478082468</v>
      </c>
      <c r="E66" s="116">
        <f t="shared" si="52"/>
        <v>2255.429320760584</v>
      </c>
      <c r="F66" s="116">
        <f t="shared" si="52"/>
        <v>2299.75540742324</v>
      </c>
      <c r="G66" s="116">
        <f t="shared" si="52"/>
        <v>2093.914647191286</v>
      </c>
      <c r="H66" s="116">
        <f t="shared" si="52"/>
        <v>1879.2214874205752</v>
      </c>
      <c r="I66" s="116">
        <f t="shared" si="52"/>
        <v>1805.3206272621085</v>
      </c>
      <c r="J66" s="116">
        <f t="shared" si="52"/>
        <v>1576.505723263012</v>
      </c>
      <c r="K66" s="116">
        <f t="shared" si="52"/>
        <v>1340.48425228654</v>
      </c>
      <c r="L66" s="116">
        <f t="shared" si="52"/>
        <v>1149.7948216451937</v>
      </c>
      <c r="M66" s="117">
        <f t="shared" si="52"/>
        <v>1207.2845627274528</v>
      </c>
      <c r="N66" s="115">
        <f t="shared" si="52"/>
        <v>1267.648790863826</v>
      </c>
      <c r="O66" s="116">
        <f t="shared" si="52"/>
        <v>1331.0312304070171</v>
      </c>
      <c r="P66" s="234">
        <f t="shared" si="52"/>
        <v>1397.5827919273684</v>
      </c>
      <c r="Q66" s="234">
        <f aca="true" t="shared" si="53" ref="Q66:AA66">P66*(1+$N$5)</f>
        <v>1467.461931523737</v>
      </c>
      <c r="R66" s="235">
        <f t="shared" si="53"/>
        <v>1540.8350280999239</v>
      </c>
      <c r="S66" s="235">
        <f t="shared" si="53"/>
        <v>1617.8767795049203</v>
      </c>
      <c r="T66" s="235">
        <f t="shared" si="53"/>
        <v>1698.7706184801664</v>
      </c>
      <c r="U66" s="235">
        <f t="shared" si="53"/>
        <v>1783.7091494041747</v>
      </c>
      <c r="V66" s="235">
        <f t="shared" si="53"/>
        <v>1872.8946068743835</v>
      </c>
      <c r="W66" s="235">
        <f t="shared" si="53"/>
        <v>1966.5393372181027</v>
      </c>
      <c r="X66" s="235">
        <f t="shared" si="53"/>
        <v>2064.866304079008</v>
      </c>
      <c r="Y66" s="235">
        <f t="shared" si="53"/>
        <v>2168.1096192829586</v>
      </c>
      <c r="Z66" s="235">
        <f t="shared" si="53"/>
        <v>2276.5151002471066</v>
      </c>
      <c r="AA66" s="235">
        <f t="shared" si="53"/>
        <v>2390.340855259462</v>
      </c>
    </row>
    <row r="67" spans="1:27" ht="10.5" customHeight="1" hidden="1">
      <c r="A67" s="92"/>
      <c r="B67" s="93"/>
      <c r="C67" s="220"/>
      <c r="D67" s="236"/>
      <c r="E67" s="236"/>
      <c r="F67" s="236"/>
      <c r="G67" s="236"/>
      <c r="H67" s="236"/>
      <c r="I67" s="236"/>
      <c r="J67" s="236"/>
      <c r="K67" s="236"/>
      <c r="L67" s="236"/>
      <c r="M67" s="237"/>
      <c r="N67" s="238"/>
      <c r="O67" s="236"/>
      <c r="P67" s="236"/>
      <c r="Q67" s="236"/>
      <c r="R67" s="239"/>
      <c r="S67" s="239"/>
      <c r="T67" s="239"/>
      <c r="U67" s="239"/>
      <c r="V67" s="240"/>
      <c r="W67" s="240"/>
      <c r="X67" s="240"/>
      <c r="Y67" s="240"/>
      <c r="Z67" s="240"/>
      <c r="AA67" s="240"/>
    </row>
    <row r="68" spans="1:27" ht="10.5" customHeight="1">
      <c r="A68" s="92">
        <v>40</v>
      </c>
      <c r="B68" s="93" t="s">
        <v>56</v>
      </c>
      <c r="C68" s="241">
        <f aca="true" t="shared" si="54" ref="C68:AA68">C43+(C45-C43)*C66*(1-$A126)/(C66*(1-$A126)+C91)</f>
        <v>0.17287014814890886</v>
      </c>
      <c r="D68" s="205">
        <f t="shared" si="54"/>
        <v>0.171403085555061</v>
      </c>
      <c r="E68" s="205">
        <f t="shared" si="54"/>
        <v>0.1726172853562826</v>
      </c>
      <c r="F68" s="205">
        <f t="shared" si="54"/>
        <v>0.16921766484901046</v>
      </c>
      <c r="G68" s="205">
        <f t="shared" si="54"/>
        <v>0.16371576591678152</v>
      </c>
      <c r="H68" s="205">
        <f t="shared" si="54"/>
        <v>0.15756479043242586</v>
      </c>
      <c r="I68" s="205">
        <f t="shared" si="54"/>
        <v>0.1529839585446694</v>
      </c>
      <c r="J68" s="205">
        <f t="shared" si="54"/>
        <v>0.1468301228519615</v>
      </c>
      <c r="K68" s="205">
        <f t="shared" si="54"/>
        <v>0.141225507898161</v>
      </c>
      <c r="L68" s="205">
        <f t="shared" si="54"/>
        <v>0.13697203893901191</v>
      </c>
      <c r="M68" s="242">
        <f t="shared" si="54"/>
        <v>0.13697203893901191</v>
      </c>
      <c r="N68" s="241">
        <f t="shared" si="54"/>
        <v>0.13697203893901191</v>
      </c>
      <c r="O68" s="205">
        <f t="shared" si="54"/>
        <v>0.13697203893901191</v>
      </c>
      <c r="P68" s="205">
        <f t="shared" si="54"/>
        <v>0.13697203893901191</v>
      </c>
      <c r="Q68" s="205">
        <f t="shared" si="54"/>
        <v>0.13697203893901191</v>
      </c>
      <c r="R68" s="206">
        <f t="shared" si="54"/>
        <v>0.13697203893901191</v>
      </c>
      <c r="S68" s="206">
        <f t="shared" si="54"/>
        <v>0.1369720389390119</v>
      </c>
      <c r="T68" s="206">
        <f t="shared" si="54"/>
        <v>0.1369720389390119</v>
      </c>
      <c r="U68" s="206">
        <f t="shared" si="54"/>
        <v>0.1369720389390119</v>
      </c>
      <c r="V68" s="239">
        <f t="shared" si="54"/>
        <v>0.1369720389390119</v>
      </c>
      <c r="W68" s="239">
        <f t="shared" si="54"/>
        <v>0.1369720389390119</v>
      </c>
      <c r="X68" s="239">
        <f t="shared" si="54"/>
        <v>0.1369720389390119</v>
      </c>
      <c r="Y68" s="239">
        <f t="shared" si="54"/>
        <v>0.1369720389390119</v>
      </c>
      <c r="Z68" s="239">
        <f t="shared" si="54"/>
        <v>0.1369720389390119</v>
      </c>
      <c r="AA68" s="239">
        <f t="shared" si="54"/>
        <v>0.13697203893901186</v>
      </c>
    </row>
    <row r="69" spans="1:27" ht="10.5" customHeight="1">
      <c r="A69" s="92" t="s">
        <v>57</v>
      </c>
      <c r="B69" s="224" t="s">
        <v>58</v>
      </c>
      <c r="C69" s="220">
        <f aca="true" t="shared" si="55" ref="C69:AA69">(C68-C43)/C44</f>
        <v>0.6608768518613608</v>
      </c>
      <c r="D69" s="221">
        <f t="shared" si="55"/>
        <v>0.6425385694382626</v>
      </c>
      <c r="E69" s="221">
        <f t="shared" si="55"/>
        <v>0.6577160669535325</v>
      </c>
      <c r="F69" s="221">
        <f t="shared" si="55"/>
        <v>0.6152208106126308</v>
      </c>
      <c r="G69" s="221">
        <f t="shared" si="55"/>
        <v>0.5464470739597691</v>
      </c>
      <c r="H69" s="221">
        <f t="shared" si="55"/>
        <v>0.46955988040532326</v>
      </c>
      <c r="I69" s="221">
        <f t="shared" si="55"/>
        <v>0.4122994818083675</v>
      </c>
      <c r="J69" s="221">
        <f t="shared" si="55"/>
        <v>0.3353765356495189</v>
      </c>
      <c r="K69" s="221">
        <f t="shared" si="55"/>
        <v>0.26531884872701245</v>
      </c>
      <c r="L69" s="221">
        <f t="shared" si="55"/>
        <v>0.21215048673764897</v>
      </c>
      <c r="M69" s="222">
        <f t="shared" si="55"/>
        <v>0.21215048673764897</v>
      </c>
      <c r="N69" s="220">
        <f t="shared" si="55"/>
        <v>0.21215048673764897</v>
      </c>
      <c r="O69" s="221">
        <f t="shared" si="55"/>
        <v>0.21215048673764897</v>
      </c>
      <c r="P69" s="221">
        <f t="shared" si="55"/>
        <v>0.21215048673764897</v>
      </c>
      <c r="Q69" s="221">
        <f t="shared" si="55"/>
        <v>0.21215048673764897</v>
      </c>
      <c r="R69" s="240">
        <f t="shared" si="55"/>
        <v>0.21215048673764897</v>
      </c>
      <c r="S69" s="240">
        <f t="shared" si="55"/>
        <v>0.21215048673764864</v>
      </c>
      <c r="T69" s="240">
        <f t="shared" si="55"/>
        <v>0.21215048673764864</v>
      </c>
      <c r="U69" s="240">
        <f t="shared" si="55"/>
        <v>0.21215048673764864</v>
      </c>
      <c r="V69" s="240">
        <f t="shared" si="55"/>
        <v>0.21215048673764864</v>
      </c>
      <c r="W69" s="240">
        <f t="shared" si="55"/>
        <v>0.21215048673764864</v>
      </c>
      <c r="X69" s="240">
        <f t="shared" si="55"/>
        <v>0.21215048673764864</v>
      </c>
      <c r="Y69" s="240">
        <f t="shared" si="55"/>
        <v>0.21215048673764864</v>
      </c>
      <c r="Z69" s="240">
        <f t="shared" si="55"/>
        <v>0.21215048673764864</v>
      </c>
      <c r="AA69" s="240">
        <f t="shared" si="55"/>
        <v>0.21215048673764828</v>
      </c>
    </row>
    <row r="70" spans="1:27" ht="10.5" customHeight="1" hidden="1">
      <c r="A70" s="92"/>
      <c r="B70" s="224" t="s">
        <v>89</v>
      </c>
      <c r="C70" s="220">
        <f aca="true" t="shared" si="56" ref="C70:AA70">C66/C57</f>
        <v>0.9468996731192008</v>
      </c>
      <c r="D70" s="221">
        <f t="shared" si="56"/>
        <v>0.9605903598934704</v>
      </c>
      <c r="E70" s="221">
        <f t="shared" si="56"/>
        <v>0.9806214438089494</v>
      </c>
      <c r="F70" s="221">
        <f t="shared" si="56"/>
        <v>0.9998936554014086</v>
      </c>
      <c r="G70" s="221">
        <f t="shared" si="56"/>
        <v>1.0214217791177005</v>
      </c>
      <c r="H70" s="221">
        <f t="shared" si="56"/>
        <v>1.0440119374558752</v>
      </c>
      <c r="I70" s="221">
        <f t="shared" si="56"/>
        <v>1.0619533101541814</v>
      </c>
      <c r="J70" s="221">
        <f t="shared" si="56"/>
        <v>1.0872453263882842</v>
      </c>
      <c r="K70" s="221">
        <f t="shared" si="56"/>
        <v>1.1170702102387833</v>
      </c>
      <c r="L70" s="221">
        <f t="shared" si="56"/>
        <v>1.1497948216451936</v>
      </c>
      <c r="M70" s="222">
        <f t="shared" si="56"/>
        <v>1.1497948216451932</v>
      </c>
      <c r="N70" s="220">
        <f t="shared" si="56"/>
        <v>1.1497948216451936</v>
      </c>
      <c r="O70" s="221">
        <f t="shared" si="56"/>
        <v>1.1497948216451934</v>
      </c>
      <c r="P70" s="221">
        <f t="shared" si="56"/>
        <v>1.1497948216451936</v>
      </c>
      <c r="Q70" s="221">
        <f t="shared" si="56"/>
        <v>1.1497948216451936</v>
      </c>
      <c r="R70" s="240">
        <f t="shared" si="56"/>
        <v>1.1497948216451936</v>
      </c>
      <c r="S70" s="240">
        <f t="shared" si="56"/>
        <v>1.1497948216451939</v>
      </c>
      <c r="T70" s="240">
        <f t="shared" si="56"/>
        <v>1.1497948216451936</v>
      </c>
      <c r="U70" s="240">
        <f t="shared" si="56"/>
        <v>1.1497948216451936</v>
      </c>
      <c r="V70" s="240">
        <f t="shared" si="56"/>
        <v>1.1497948216451936</v>
      </c>
      <c r="W70" s="240">
        <f t="shared" si="56"/>
        <v>1.1497948216451936</v>
      </c>
      <c r="X70" s="240">
        <f t="shared" si="56"/>
        <v>1.1497948216451936</v>
      </c>
      <c r="Y70" s="240">
        <f t="shared" si="56"/>
        <v>1.1497948216451939</v>
      </c>
      <c r="Z70" s="240">
        <f t="shared" si="56"/>
        <v>1.1497948216451939</v>
      </c>
      <c r="AA70" s="240">
        <f t="shared" si="56"/>
        <v>1.1497948216451939</v>
      </c>
    </row>
    <row r="71" spans="1:27" ht="10.5" customHeight="1" hidden="1">
      <c r="A71" s="92"/>
      <c r="B71" s="224" t="s">
        <v>90</v>
      </c>
      <c r="C71" s="220">
        <f aca="true" t="shared" si="57" ref="C71:AA71">C66/C82</f>
        <v>2.9981250876822774</v>
      </c>
      <c r="D71" s="221">
        <f t="shared" si="57"/>
        <v>2.7653917081500023</v>
      </c>
      <c r="E71" s="221">
        <f t="shared" si="57"/>
        <v>2.9562324565752673</v>
      </c>
      <c r="F71" s="221">
        <f t="shared" si="57"/>
        <v>2.4598356171383227</v>
      </c>
      <c r="G71" s="221">
        <f t="shared" si="57"/>
        <v>1.8535605390789203</v>
      </c>
      <c r="H71" s="221">
        <f t="shared" si="57"/>
        <v>1.3618875898003242</v>
      </c>
      <c r="I71" s="221">
        <f t="shared" si="57"/>
        <v>1.079302936539128</v>
      </c>
      <c r="J71" s="221">
        <f t="shared" si="57"/>
        <v>0.7763251354712523</v>
      </c>
      <c r="K71" s="221">
        <f t="shared" si="57"/>
        <v>0.5555918284934115</v>
      </c>
      <c r="L71" s="221">
        <f t="shared" si="57"/>
        <v>0.4142737397402981</v>
      </c>
      <c r="M71" s="222">
        <f t="shared" si="57"/>
        <v>0.41427373974029785</v>
      </c>
      <c r="N71" s="220">
        <f t="shared" si="57"/>
        <v>0.41427373974029813</v>
      </c>
      <c r="O71" s="221">
        <f t="shared" si="57"/>
        <v>0.41427373974029824</v>
      </c>
      <c r="P71" s="221">
        <f t="shared" si="57"/>
        <v>0.41427373974029236</v>
      </c>
      <c r="Q71" s="221">
        <f t="shared" si="57"/>
        <v>0.43571222286201466</v>
      </c>
      <c r="R71" s="240">
        <f t="shared" si="57"/>
        <v>0.43895734411198023</v>
      </c>
      <c r="S71" s="240">
        <f t="shared" si="57"/>
        <v>0.4427257521067838</v>
      </c>
      <c r="T71" s="240">
        <f t="shared" si="57"/>
        <v>0.44711251713205546</v>
      </c>
      <c r="U71" s="240">
        <f t="shared" si="57"/>
        <v>0.45223363050525317</v>
      </c>
      <c r="V71" s="240">
        <f t="shared" si="57"/>
        <v>0.45823188396902453</v>
      </c>
      <c r="W71" s="240">
        <f t="shared" si="57"/>
        <v>0.4652848668932449</v>
      </c>
      <c r="X71" s="240">
        <f t="shared" si="57"/>
        <v>0.47361603451108175</v>
      </c>
      <c r="Y71" s="240">
        <f t="shared" si="57"/>
        <v>0.48351032470795946</v>
      </c>
      <c r="Z71" s="240">
        <f t="shared" si="57"/>
        <v>0.49533667332037473</v>
      </c>
      <c r="AA71" s="240">
        <f t="shared" si="57"/>
        <v>-1.0000000000000007</v>
      </c>
    </row>
    <row r="72" spans="1:27" ht="10.5" customHeight="1" hidden="1">
      <c r="A72" s="92"/>
      <c r="B72" s="224" t="s">
        <v>91</v>
      </c>
      <c r="C72" s="220">
        <f aca="true" t="shared" si="58" ref="C72:AA72">C66/C90</f>
        <v>2.998125087682278</v>
      </c>
      <c r="D72" s="221">
        <f t="shared" si="58"/>
        <v>2.7653917081500023</v>
      </c>
      <c r="E72" s="221">
        <f t="shared" si="58"/>
        <v>2.956232456575269</v>
      </c>
      <c r="F72" s="221">
        <f t="shared" si="58"/>
        <v>2.4598356171383227</v>
      </c>
      <c r="G72" s="221">
        <f t="shared" si="58"/>
        <v>1.8535605390789218</v>
      </c>
      <c r="H72" s="221">
        <f t="shared" si="58"/>
        <v>1.361887589800324</v>
      </c>
      <c r="I72" s="221">
        <f t="shared" si="58"/>
        <v>1.0793029365391287</v>
      </c>
      <c r="J72" s="221">
        <f t="shared" si="58"/>
        <v>0.7763251354712525</v>
      </c>
      <c r="K72" s="221">
        <f t="shared" si="58"/>
        <v>0.5555918284934119</v>
      </c>
      <c r="L72" s="221">
        <f t="shared" si="58"/>
        <v>0.41427373974029813</v>
      </c>
      <c r="M72" s="222">
        <f t="shared" si="58"/>
        <v>0.4142737397402979</v>
      </c>
      <c r="N72" s="220">
        <f t="shared" si="58"/>
        <v>0.4142737397402982</v>
      </c>
      <c r="O72" s="221">
        <f t="shared" si="58"/>
        <v>0.4142737397402983</v>
      </c>
      <c r="P72" s="221">
        <f t="shared" si="58"/>
        <v>0.41427373974029796</v>
      </c>
      <c r="Q72" s="221">
        <f t="shared" si="58"/>
        <v>0.41427373974029796</v>
      </c>
      <c r="R72" s="240">
        <f t="shared" si="58"/>
        <v>0.41427373974029796</v>
      </c>
      <c r="S72" s="240">
        <f t="shared" si="58"/>
        <v>0.414273739740298</v>
      </c>
      <c r="T72" s="240">
        <f t="shared" si="58"/>
        <v>0.414273739740298</v>
      </c>
      <c r="U72" s="240">
        <f t="shared" si="58"/>
        <v>0.41427373974029796</v>
      </c>
      <c r="V72" s="240">
        <f t="shared" si="58"/>
        <v>0.414273739740298</v>
      </c>
      <c r="W72" s="240">
        <f t="shared" si="58"/>
        <v>0.414273739740298</v>
      </c>
      <c r="X72" s="240">
        <f t="shared" si="58"/>
        <v>0.4142737397402981</v>
      </c>
      <c r="Y72" s="240">
        <f t="shared" si="58"/>
        <v>0.4142737397402981</v>
      </c>
      <c r="Z72" s="240">
        <f t="shared" si="58"/>
        <v>0.41427373974029813</v>
      </c>
      <c r="AA72" s="240">
        <f t="shared" si="58"/>
        <v>0.41427373974029813</v>
      </c>
    </row>
    <row r="73" spans="1:27" ht="10.5" customHeight="1" hidden="1">
      <c r="A73" s="92"/>
      <c r="B73" s="224" t="s">
        <v>92</v>
      </c>
      <c r="C73" s="220">
        <f aca="true" t="shared" si="59" ref="C73:AA73">C66/C100</f>
        <v>2.9981250876822725</v>
      </c>
      <c r="D73" s="221">
        <f t="shared" si="59"/>
        <v>2.7653917081500086</v>
      </c>
      <c r="E73" s="221">
        <f t="shared" si="59"/>
        <v>2.956232456575269</v>
      </c>
      <c r="F73" s="221">
        <f t="shared" si="59"/>
        <v>2.4598356171383227</v>
      </c>
      <c r="G73" s="221">
        <f t="shared" si="59"/>
        <v>1.8535605390789232</v>
      </c>
      <c r="H73" s="221">
        <f t="shared" si="59"/>
        <v>1.361887589800325</v>
      </c>
      <c r="I73" s="221">
        <f t="shared" si="59"/>
        <v>1.0793029365391291</v>
      </c>
      <c r="J73" s="221">
        <f t="shared" si="59"/>
        <v>0.7763251354712526</v>
      </c>
      <c r="K73" s="221">
        <f t="shared" si="59"/>
        <v>0.5555918284934117</v>
      </c>
      <c r="L73" s="221">
        <f t="shared" si="59"/>
        <v>0.4142737397402981</v>
      </c>
      <c r="M73" s="222">
        <f t="shared" si="59"/>
        <v>0.41427373974029774</v>
      </c>
      <c r="N73" s="220">
        <f t="shared" si="59"/>
        <v>0.41427373974029813</v>
      </c>
      <c r="O73" s="221">
        <f t="shared" si="59"/>
        <v>0.4142737397402986</v>
      </c>
      <c r="P73" s="221">
        <f t="shared" si="59"/>
        <v>0.4142737397402981</v>
      </c>
      <c r="Q73" s="221">
        <f t="shared" si="59"/>
        <v>0.4142737397402982</v>
      </c>
      <c r="R73" s="240">
        <f t="shared" si="59"/>
        <v>0.4142737397402982</v>
      </c>
      <c r="S73" s="240">
        <f t="shared" si="59"/>
        <v>0.4142737397402982</v>
      </c>
      <c r="T73" s="240">
        <f t="shared" si="59"/>
        <v>0.4142737397402982</v>
      </c>
      <c r="U73" s="240">
        <f t="shared" si="59"/>
        <v>0.41427373974029824</v>
      </c>
      <c r="V73" s="240">
        <f t="shared" si="59"/>
        <v>0.4142737397402983</v>
      </c>
      <c r="W73" s="240">
        <f t="shared" si="59"/>
        <v>0.4142737397402983</v>
      </c>
      <c r="X73" s="240">
        <f t="shared" si="59"/>
        <v>0.4142737397402983</v>
      </c>
      <c r="Y73" s="240">
        <f t="shared" si="59"/>
        <v>0.41427373974029835</v>
      </c>
      <c r="Z73" s="240">
        <f t="shared" si="59"/>
        <v>0.41427373974029835</v>
      </c>
      <c r="AA73" s="240">
        <f t="shared" si="59"/>
        <v>0.4142737397402983</v>
      </c>
    </row>
    <row r="74" spans="1:27" ht="10.5" customHeight="1">
      <c r="A74" s="92" t="s">
        <v>88</v>
      </c>
      <c r="B74" s="224" t="s">
        <v>93</v>
      </c>
      <c r="C74" s="220"/>
      <c r="D74" s="221">
        <f aca="true" t="shared" si="60" ref="D74:AA74">C57*C58-C66*C68</f>
        <v>-24.64323619368531</v>
      </c>
      <c r="E74" s="221">
        <f t="shared" si="60"/>
        <v>-26.36667295233724</v>
      </c>
      <c r="F74" s="221">
        <f t="shared" si="60"/>
        <v>-44.32608666265634</v>
      </c>
      <c r="G74" s="221">
        <f t="shared" si="60"/>
        <v>-44.159239768045325</v>
      </c>
      <c r="H74" s="221">
        <f t="shared" si="60"/>
        <v>-35.30684022928875</v>
      </c>
      <c r="I74" s="221">
        <f t="shared" si="60"/>
        <v>-26.09913984153451</v>
      </c>
      <c r="J74" s="221">
        <f t="shared" si="60"/>
        <v>-21.185096000902945</v>
      </c>
      <c r="K74" s="221">
        <f t="shared" si="60"/>
        <v>-13.978529023528495</v>
      </c>
      <c r="L74" s="221">
        <f t="shared" si="60"/>
        <v>-9.310569358653169</v>
      </c>
      <c r="M74" s="222">
        <f t="shared" si="60"/>
        <v>-7.489741082259741</v>
      </c>
      <c r="N74" s="220">
        <f t="shared" si="60"/>
        <v>-7.864228136372645</v>
      </c>
      <c r="O74" s="221">
        <f t="shared" si="60"/>
        <v>-8.257439543191339</v>
      </c>
      <c r="P74" s="221">
        <f t="shared" si="60"/>
        <v>-8.670311520350907</v>
      </c>
      <c r="Q74" s="221">
        <f t="shared" si="60"/>
        <v>-9.103827096368462</v>
      </c>
      <c r="R74" s="240">
        <f t="shared" si="60"/>
        <v>-9.559018451186887</v>
      </c>
      <c r="S74" s="240">
        <f t="shared" si="60"/>
        <v>-10.036969373746246</v>
      </c>
      <c r="T74" s="240">
        <f t="shared" si="60"/>
        <v>-10.53881784243353</v>
      </c>
      <c r="U74" s="240">
        <f t="shared" si="60"/>
        <v>-11.065758734555203</v>
      </c>
      <c r="V74" s="240">
        <f t="shared" si="60"/>
        <v>-11.619046671282945</v>
      </c>
      <c r="W74" s="240">
        <f t="shared" si="60"/>
        <v>-12.199999004847086</v>
      </c>
      <c r="X74" s="240">
        <f t="shared" si="60"/>
        <v>-12.809998955089497</v>
      </c>
      <c r="Y74" s="240">
        <f t="shared" si="60"/>
        <v>-13.450498902843947</v>
      </c>
      <c r="Z74" s="240">
        <f t="shared" si="60"/>
        <v>-14.12302384798619</v>
      </c>
      <c r="AA74" s="240">
        <f t="shared" si="60"/>
        <v>-14.829175040385508</v>
      </c>
    </row>
    <row r="75" spans="1:27" s="249" customFormat="1" ht="10.5" customHeight="1">
      <c r="A75" s="84" t="s">
        <v>55</v>
      </c>
      <c r="B75" s="243" t="s">
        <v>94</v>
      </c>
      <c r="C75" s="244">
        <f aca="true" t="shared" si="61" ref="C75:AA75">C84-C68</f>
        <v>0.07999999999999999</v>
      </c>
      <c r="D75" s="245">
        <f t="shared" si="61"/>
        <v>0.07999999999999996</v>
      </c>
      <c r="E75" s="245">
        <f t="shared" si="61"/>
        <v>0.07999999999999993</v>
      </c>
      <c r="F75" s="245">
        <f t="shared" si="61"/>
        <v>0.07999999999999999</v>
      </c>
      <c r="G75" s="245">
        <f t="shared" si="61"/>
        <v>0.07999999999999996</v>
      </c>
      <c r="H75" s="245">
        <f t="shared" si="61"/>
        <v>0.08000000000000002</v>
      </c>
      <c r="I75" s="245">
        <f t="shared" si="61"/>
        <v>0.07999999999999996</v>
      </c>
      <c r="J75" s="245">
        <f t="shared" si="61"/>
        <v>0.07999999999999996</v>
      </c>
      <c r="K75" s="245">
        <f t="shared" si="61"/>
        <v>0.07999999999999999</v>
      </c>
      <c r="L75" s="245">
        <f t="shared" si="61"/>
        <v>0.07999999999999999</v>
      </c>
      <c r="M75" s="246">
        <f t="shared" si="61"/>
        <v>0.07999999999999999</v>
      </c>
      <c r="N75" s="244">
        <f t="shared" si="61"/>
        <v>0.07999999999999999</v>
      </c>
      <c r="O75" s="245">
        <f t="shared" si="61"/>
        <v>0.07999999999999999</v>
      </c>
      <c r="P75" s="247">
        <f t="shared" si="61"/>
        <v>0.07999999999999996</v>
      </c>
      <c r="Q75" s="247">
        <f t="shared" si="61"/>
        <v>0.07999999999999996</v>
      </c>
      <c r="R75" s="248">
        <f t="shared" si="61"/>
        <v>0.07999999999999999</v>
      </c>
      <c r="S75" s="248">
        <f t="shared" si="61"/>
        <v>0.07999999999999999</v>
      </c>
      <c r="T75" s="248">
        <f t="shared" si="61"/>
        <v>0.07999999999999999</v>
      </c>
      <c r="U75" s="248">
        <f t="shared" si="61"/>
        <v>0.07999999999999996</v>
      </c>
      <c r="V75" s="248">
        <f t="shared" si="61"/>
        <v>0.07999999999999996</v>
      </c>
      <c r="W75" s="248">
        <f t="shared" si="61"/>
        <v>0.07999999999999996</v>
      </c>
      <c r="X75" s="248">
        <f t="shared" si="61"/>
        <v>0.07999999999999996</v>
      </c>
      <c r="Y75" s="248">
        <f t="shared" si="61"/>
        <v>0.07999999999999996</v>
      </c>
      <c r="Z75" s="248">
        <f t="shared" si="61"/>
        <v>0.07999999999999993</v>
      </c>
      <c r="AA75" s="248">
        <f t="shared" si="61"/>
        <v>0.07999999999999993</v>
      </c>
    </row>
    <row r="76" spans="1:27" s="255" customFormat="1" ht="10.5" customHeight="1">
      <c r="A76" s="128" t="s">
        <v>59</v>
      </c>
      <c r="B76" s="250" t="s">
        <v>95</v>
      </c>
      <c r="C76" s="251"/>
      <c r="D76" s="252">
        <f aca="true" t="shared" si="62" ref="D76:AA76">C66*C45*$G$4+(C57*C58-C66*C68)*$G$4</f>
        <v>110.68422614522945</v>
      </c>
      <c r="E76" s="252">
        <f t="shared" si="62"/>
        <v>111.80604981325925</v>
      </c>
      <c r="F76" s="252">
        <f t="shared" si="62"/>
        <v>142.36592212131114</v>
      </c>
      <c r="G76" s="252">
        <f t="shared" si="62"/>
        <v>145.5271446008109</v>
      </c>
      <c r="H76" s="252">
        <f t="shared" si="62"/>
        <v>134.21663122313896</v>
      </c>
      <c r="I76" s="252">
        <f t="shared" si="62"/>
        <v>122.41080517490319</v>
      </c>
      <c r="J76" s="252">
        <f t="shared" si="62"/>
        <v>118.95766030803156</v>
      </c>
      <c r="K76" s="252">
        <f t="shared" si="62"/>
        <v>105.46291547017587</v>
      </c>
      <c r="L76" s="252">
        <f t="shared" si="62"/>
        <v>90.57519838452917</v>
      </c>
      <c r="M76" s="253">
        <f t="shared" si="62"/>
        <v>77.86422813637263</v>
      </c>
      <c r="N76" s="251">
        <f t="shared" si="62"/>
        <v>81.75743954319127</v>
      </c>
      <c r="O76" s="252">
        <f t="shared" si="62"/>
        <v>85.84531152035086</v>
      </c>
      <c r="P76" s="252">
        <f t="shared" si="62"/>
        <v>90.13757709636837</v>
      </c>
      <c r="Q76" s="252">
        <f t="shared" si="62"/>
        <v>94.64445595118683</v>
      </c>
      <c r="R76" s="254">
        <f t="shared" si="62"/>
        <v>99.37667874874617</v>
      </c>
      <c r="S76" s="254">
        <f t="shared" si="62"/>
        <v>104.3455126861835</v>
      </c>
      <c r="T76" s="254">
        <f t="shared" si="62"/>
        <v>109.56278832049267</v>
      </c>
      <c r="U76" s="254">
        <f t="shared" si="62"/>
        <v>115.04092773651732</v>
      </c>
      <c r="V76" s="254">
        <f t="shared" si="62"/>
        <v>120.7929741233432</v>
      </c>
      <c r="W76" s="254">
        <f t="shared" si="62"/>
        <v>126.83262282951037</v>
      </c>
      <c r="X76" s="254">
        <f t="shared" si="62"/>
        <v>133.1742539709859</v>
      </c>
      <c r="Y76" s="254">
        <f t="shared" si="62"/>
        <v>139.83296666953515</v>
      </c>
      <c r="Z76" s="254">
        <f t="shared" si="62"/>
        <v>146.82461500301193</v>
      </c>
      <c r="AA76" s="254">
        <f t="shared" si="62"/>
        <v>154.16584575316253</v>
      </c>
    </row>
    <row r="77" spans="1:27" ht="10.5" customHeight="1" hidden="1">
      <c r="A77" s="92"/>
      <c r="B77" s="227" t="s">
        <v>53</v>
      </c>
      <c r="C77" s="232">
        <f aca="true" t="shared" si="63" ref="C77:AA77">NPV(C45,D76:M76)</f>
        <v>505.2381222506287</v>
      </c>
      <c r="D77" s="199">
        <f t="shared" si="63"/>
        <v>508.80580348452946</v>
      </c>
      <c r="E77" s="199">
        <f t="shared" si="63"/>
        <v>512.6254114436307</v>
      </c>
      <c r="F77" s="199">
        <f t="shared" si="63"/>
        <v>487.34229354027315</v>
      </c>
      <c r="G77" s="199">
        <f t="shared" si="63"/>
        <v>454.5692156732056</v>
      </c>
      <c r="H77" s="199">
        <f t="shared" si="63"/>
        <v>427.3163160116809</v>
      </c>
      <c r="I77" s="199">
        <f t="shared" si="63"/>
        <v>407.22115688743577</v>
      </c>
      <c r="J77" s="199">
        <f t="shared" si="63"/>
        <v>387.40272994762927</v>
      </c>
      <c r="K77" s="199">
        <f t="shared" si="63"/>
        <v>378.0001125572541</v>
      </c>
      <c r="L77" s="199">
        <f t="shared" si="63"/>
        <v>382.53367637896434</v>
      </c>
      <c r="M77" s="233">
        <f t="shared" si="63"/>
        <v>401.66036019791267</v>
      </c>
      <c r="N77" s="232">
        <f t="shared" si="63"/>
        <v>421.74337820780823</v>
      </c>
      <c r="O77" s="199">
        <f t="shared" si="63"/>
        <v>442.8305471181986</v>
      </c>
      <c r="P77" s="199">
        <f t="shared" si="63"/>
        <v>464.9720744741086</v>
      </c>
      <c r="Q77" s="199">
        <f t="shared" si="63"/>
        <v>488.22067819781404</v>
      </c>
      <c r="R77" s="187">
        <f t="shared" si="63"/>
        <v>486.4881350886308</v>
      </c>
      <c r="S77" s="187">
        <f t="shared" si="63"/>
        <v>479.4402494201735</v>
      </c>
      <c r="T77" s="187">
        <f t="shared" si="63"/>
        <v>465.7655109837154</v>
      </c>
      <c r="U77" s="187">
        <f t="shared" si="63"/>
        <v>443.8776854439412</v>
      </c>
      <c r="V77" s="187">
        <f t="shared" si="63"/>
        <v>411.8602484093862</v>
      </c>
      <c r="W77" s="187">
        <f t="shared" si="63"/>
        <v>367.39967526175303</v>
      </c>
      <c r="X77" s="187">
        <f t="shared" si="63"/>
        <v>307.7053563431178</v>
      </c>
      <c r="Y77" s="187">
        <f t="shared" si="63"/>
        <v>229.41346094220617</v>
      </c>
      <c r="Z77" s="187">
        <f t="shared" si="63"/>
        <v>128.47153812763545</v>
      </c>
      <c r="AA77" s="187">
        <f t="shared" si="63"/>
        <v>0</v>
      </c>
    </row>
    <row r="78" spans="1:27" ht="10.5" customHeight="1" hidden="1">
      <c r="A78" s="92"/>
      <c r="B78" s="227" t="s">
        <v>41</v>
      </c>
      <c r="C78" s="232">
        <f aca="true" t="shared" si="64" ref="C78:AA78">N76/(C45-$N$5)/(1+C45)^10</f>
        <v>88.0285528600295</v>
      </c>
      <c r="D78" s="199">
        <f t="shared" si="64"/>
        <v>92.42998050303103</v>
      </c>
      <c r="E78" s="199">
        <f t="shared" si="64"/>
        <v>97.05147952818254</v>
      </c>
      <c r="F78" s="199">
        <f t="shared" si="64"/>
        <v>101.90405350459172</v>
      </c>
      <c r="G78" s="199">
        <f t="shared" si="64"/>
        <v>106.99925617982129</v>
      </c>
      <c r="H78" s="199">
        <f t="shared" si="64"/>
        <v>112.34921898881238</v>
      </c>
      <c r="I78" s="199">
        <f t="shared" si="64"/>
        <v>117.966679938253</v>
      </c>
      <c r="J78" s="199">
        <f t="shared" si="64"/>
        <v>123.86501393516566</v>
      </c>
      <c r="K78" s="199">
        <f t="shared" si="64"/>
        <v>130.05826463192395</v>
      </c>
      <c r="L78" s="199">
        <f t="shared" si="64"/>
        <v>136.5611778635202</v>
      </c>
      <c r="M78" s="233">
        <f t="shared" si="64"/>
        <v>143.3892367566962</v>
      </c>
      <c r="N78" s="232">
        <f t="shared" si="64"/>
        <v>150.55869859453097</v>
      </c>
      <c r="O78" s="199">
        <f t="shared" si="64"/>
        <v>158.08663352425754</v>
      </c>
      <c r="P78" s="199">
        <f t="shared" si="64"/>
        <v>165.9909652004704</v>
      </c>
      <c r="Q78" s="199">
        <f t="shared" si="64"/>
        <v>0</v>
      </c>
      <c r="R78" s="187">
        <f t="shared" si="64"/>
        <v>0</v>
      </c>
      <c r="S78" s="187">
        <f t="shared" si="64"/>
        <v>0</v>
      </c>
      <c r="T78" s="187">
        <f t="shared" si="64"/>
        <v>0</v>
      </c>
      <c r="U78" s="187">
        <f t="shared" si="64"/>
        <v>0</v>
      </c>
      <c r="V78" s="187">
        <f t="shared" si="64"/>
        <v>0</v>
      </c>
      <c r="W78" s="187">
        <f t="shared" si="64"/>
        <v>0</v>
      </c>
      <c r="X78" s="187">
        <f t="shared" si="64"/>
        <v>0</v>
      </c>
      <c r="Y78" s="187">
        <f t="shared" si="64"/>
        <v>0</v>
      </c>
      <c r="Z78" s="187">
        <f t="shared" si="64"/>
        <v>0</v>
      </c>
      <c r="AA78" s="187">
        <f t="shared" si="64"/>
        <v>0</v>
      </c>
    </row>
    <row r="79" spans="1:27" ht="10.5" customHeight="1" hidden="1">
      <c r="A79" s="92"/>
      <c r="B79" s="227"/>
      <c r="C79" s="232"/>
      <c r="D79" s="199"/>
      <c r="E79" s="199"/>
      <c r="F79" s="199"/>
      <c r="G79" s="199"/>
      <c r="H79" s="199"/>
      <c r="I79" s="199"/>
      <c r="J79" s="199"/>
      <c r="K79" s="199"/>
      <c r="L79" s="199"/>
      <c r="M79" s="233"/>
      <c r="N79" s="232"/>
      <c r="O79" s="199"/>
      <c r="P79" s="199"/>
      <c r="Q79" s="199"/>
      <c r="R79" s="187"/>
      <c r="S79" s="187"/>
      <c r="T79" s="187"/>
      <c r="U79" s="187"/>
      <c r="V79" s="187"/>
      <c r="W79" s="187"/>
      <c r="X79" s="187"/>
      <c r="Y79" s="187"/>
      <c r="Z79" s="187"/>
      <c r="AA79" s="187"/>
    </row>
    <row r="80" spans="1:27" ht="10.5" customHeight="1">
      <c r="A80" s="92">
        <v>41</v>
      </c>
      <c r="B80" s="180" t="s">
        <v>83</v>
      </c>
      <c r="C80" s="256">
        <f aca="true" t="shared" si="65" ref="C80:AA80">C77+C78</f>
        <v>593.2666751106582</v>
      </c>
      <c r="D80" s="202">
        <f t="shared" si="65"/>
        <v>601.2357839875605</v>
      </c>
      <c r="E80" s="202">
        <f t="shared" si="65"/>
        <v>609.6768909718132</v>
      </c>
      <c r="F80" s="202">
        <f t="shared" si="65"/>
        <v>589.2463470448648</v>
      </c>
      <c r="G80" s="202">
        <f t="shared" si="65"/>
        <v>561.5684718530268</v>
      </c>
      <c r="H80" s="202">
        <f t="shared" si="65"/>
        <v>539.6655350004933</v>
      </c>
      <c r="I80" s="202">
        <f t="shared" si="65"/>
        <v>525.1878368256888</v>
      </c>
      <c r="J80" s="202">
        <f t="shared" si="65"/>
        <v>511.26774388279495</v>
      </c>
      <c r="K80" s="202">
        <f t="shared" si="65"/>
        <v>508.05837718917803</v>
      </c>
      <c r="L80" s="202">
        <f t="shared" si="65"/>
        <v>519.0948542424845</v>
      </c>
      <c r="M80" s="257">
        <f t="shared" si="65"/>
        <v>545.0495969546089</v>
      </c>
      <c r="N80" s="256">
        <f t="shared" si="65"/>
        <v>572.3020768023392</v>
      </c>
      <c r="O80" s="202">
        <f t="shared" si="65"/>
        <v>600.9171806424561</v>
      </c>
      <c r="P80" s="202">
        <f t="shared" si="65"/>
        <v>630.963039674579</v>
      </c>
      <c r="Q80" s="202">
        <f t="shared" si="65"/>
        <v>488.22067819781404</v>
      </c>
      <c r="R80" s="258">
        <f t="shared" si="65"/>
        <v>486.4881350886308</v>
      </c>
      <c r="S80" s="258">
        <f t="shared" si="65"/>
        <v>479.4402494201735</v>
      </c>
      <c r="T80" s="258">
        <f t="shared" si="65"/>
        <v>465.7655109837154</v>
      </c>
      <c r="U80" s="258">
        <f t="shared" si="65"/>
        <v>443.8776854439412</v>
      </c>
      <c r="V80" s="258">
        <f t="shared" si="65"/>
        <v>411.8602484093862</v>
      </c>
      <c r="W80" s="258">
        <f t="shared" si="65"/>
        <v>367.39967526175303</v>
      </c>
      <c r="X80" s="258">
        <f t="shared" si="65"/>
        <v>307.7053563431178</v>
      </c>
      <c r="Y80" s="258">
        <f t="shared" si="65"/>
        <v>229.41346094220617</v>
      </c>
      <c r="Z80" s="258">
        <f t="shared" si="65"/>
        <v>128.47153812763545</v>
      </c>
      <c r="AA80" s="258">
        <f t="shared" si="65"/>
        <v>0</v>
      </c>
    </row>
    <row r="81" spans="1:27" ht="10.5" customHeight="1">
      <c r="A81" s="92">
        <v>42</v>
      </c>
      <c r="B81" s="180" t="s">
        <v>84</v>
      </c>
      <c r="C81" s="232">
        <f aca="true" t="shared" si="66" ref="C81:AA81">C80+C48</f>
        <v>2272.9145083058656</v>
      </c>
      <c r="D81" s="199">
        <f t="shared" si="66"/>
        <v>2354.313183821808</v>
      </c>
      <c r="E81" s="199">
        <f t="shared" si="66"/>
        <v>3018.3697707729107</v>
      </c>
      <c r="F81" s="199">
        <f t="shared" si="66"/>
        <v>3234.6778028061826</v>
      </c>
      <c r="G81" s="199">
        <f t="shared" si="66"/>
        <v>3223.5862187666075</v>
      </c>
      <c r="H81" s="199">
        <f t="shared" si="66"/>
        <v>3259.0868312967905</v>
      </c>
      <c r="I81" s="199">
        <f t="shared" si="66"/>
        <v>3477.993392381246</v>
      </c>
      <c r="J81" s="199">
        <f t="shared" si="66"/>
        <v>3607.234410549462</v>
      </c>
      <c r="K81" s="199">
        <f t="shared" si="66"/>
        <v>3753.198377189181</v>
      </c>
      <c r="L81" s="199">
        <f t="shared" si="66"/>
        <v>3925.241854242487</v>
      </c>
      <c r="M81" s="233">
        <f t="shared" si="66"/>
        <v>4121.503946954611</v>
      </c>
      <c r="N81" s="232">
        <f t="shared" si="66"/>
        <v>4327.579144302341</v>
      </c>
      <c r="O81" s="199">
        <f t="shared" si="66"/>
        <v>4543.958101517457</v>
      </c>
      <c r="P81" s="199">
        <f t="shared" si="66"/>
        <v>4771.156006593378</v>
      </c>
      <c r="Q81" s="199">
        <f t="shared" si="66"/>
        <v>4835.423293462545</v>
      </c>
      <c r="R81" s="187">
        <f t="shared" si="66"/>
        <v>5051.0508811164955</v>
      </c>
      <c r="S81" s="187">
        <f t="shared" si="66"/>
        <v>5272.231132749531</v>
      </c>
      <c r="T81" s="187">
        <f t="shared" si="66"/>
        <v>5498.195938479496</v>
      </c>
      <c r="U81" s="187">
        <f t="shared" si="66"/>
        <v>5727.929634314472</v>
      </c>
      <c r="V81" s="187">
        <f t="shared" si="66"/>
        <v>5960.114794723613</v>
      </c>
      <c r="W81" s="187">
        <f t="shared" si="66"/>
        <v>6193.0669488915455</v>
      </c>
      <c r="X81" s="187">
        <f t="shared" si="66"/>
        <v>6424.655993654422</v>
      </c>
      <c r="Y81" s="187">
        <f t="shared" si="66"/>
        <v>6652.21163011902</v>
      </c>
      <c r="Z81" s="187">
        <f t="shared" si="66"/>
        <v>6872.4096157632175</v>
      </c>
      <c r="AA81" s="187">
        <f t="shared" si="66"/>
        <v>0</v>
      </c>
    </row>
    <row r="82" spans="1:27" s="259" customFormat="1" ht="10.5" customHeight="1" thickBot="1">
      <c r="A82" s="138">
        <v>43</v>
      </c>
      <c r="B82" s="139" t="s">
        <v>61</v>
      </c>
      <c r="C82" s="140">
        <f aca="true" t="shared" si="67" ref="C82:AA82">C81-C66</f>
        <v>568.4950966913043</v>
      </c>
      <c r="D82" s="141">
        <f t="shared" si="67"/>
        <v>625.250536013561</v>
      </c>
      <c r="E82" s="141">
        <f t="shared" si="67"/>
        <v>762.9404500123269</v>
      </c>
      <c r="F82" s="141">
        <f t="shared" si="67"/>
        <v>934.9223953829428</v>
      </c>
      <c r="G82" s="141">
        <f t="shared" si="67"/>
        <v>1129.6715715753217</v>
      </c>
      <c r="H82" s="141">
        <f t="shared" si="67"/>
        <v>1379.8653438762153</v>
      </c>
      <c r="I82" s="141">
        <f t="shared" si="67"/>
        <v>1672.6727651191375</v>
      </c>
      <c r="J82" s="141">
        <f t="shared" si="67"/>
        <v>2030.7286872864502</v>
      </c>
      <c r="K82" s="141">
        <f t="shared" si="67"/>
        <v>2412.714124902641</v>
      </c>
      <c r="L82" s="141">
        <f t="shared" si="67"/>
        <v>2775.4470325972934</v>
      </c>
      <c r="M82" s="142">
        <f t="shared" si="67"/>
        <v>2914.219384227158</v>
      </c>
      <c r="N82" s="140">
        <f t="shared" si="67"/>
        <v>3059.930353438515</v>
      </c>
      <c r="O82" s="141">
        <f t="shared" si="67"/>
        <v>3212.92687111044</v>
      </c>
      <c r="P82" s="141">
        <f t="shared" si="67"/>
        <v>3373.57321466601</v>
      </c>
      <c r="Q82" s="141">
        <f t="shared" si="67"/>
        <v>3367.9613619388083</v>
      </c>
      <c r="R82" s="143">
        <f t="shared" si="67"/>
        <v>3510.2158530165716</v>
      </c>
      <c r="S82" s="143">
        <f t="shared" si="67"/>
        <v>3654.3543532446106</v>
      </c>
      <c r="T82" s="143">
        <f t="shared" si="67"/>
        <v>3799.42531999933</v>
      </c>
      <c r="U82" s="143">
        <f t="shared" si="67"/>
        <v>3944.2204849102977</v>
      </c>
      <c r="V82" s="143">
        <f t="shared" si="67"/>
        <v>4087.2201878492297</v>
      </c>
      <c r="W82" s="143">
        <f t="shared" si="67"/>
        <v>4226.527611673443</v>
      </c>
      <c r="X82" s="143">
        <f t="shared" si="67"/>
        <v>4359.789689575414</v>
      </c>
      <c r="Y82" s="143">
        <f t="shared" si="67"/>
        <v>4484.102010836061</v>
      </c>
      <c r="Z82" s="143">
        <f t="shared" si="67"/>
        <v>4595.894515516111</v>
      </c>
      <c r="AA82" s="143">
        <f t="shared" si="67"/>
        <v>-2390.340855259462</v>
      </c>
    </row>
    <row r="83" spans="1:27" ht="10.5" customHeight="1">
      <c r="A83" s="92">
        <v>44</v>
      </c>
      <c r="B83" s="224" t="s">
        <v>62</v>
      </c>
      <c r="C83" s="220">
        <f aca="true" t="shared" si="68" ref="C83:AA83">C42*(C66*(1-$A126)+C91)/C91-C69*C66*(1-$A126)/C91</f>
        <v>1.6608768518613612</v>
      </c>
      <c r="D83" s="221">
        <f t="shared" si="68"/>
        <v>1.6425385694382617</v>
      </c>
      <c r="E83" s="221">
        <f t="shared" si="68"/>
        <v>1.657716066953532</v>
      </c>
      <c r="F83" s="221">
        <f t="shared" si="68"/>
        <v>1.615220810612631</v>
      </c>
      <c r="G83" s="221">
        <f t="shared" si="68"/>
        <v>1.5464470739597687</v>
      </c>
      <c r="H83" s="221">
        <f t="shared" si="68"/>
        <v>1.4695598804053231</v>
      </c>
      <c r="I83" s="221">
        <f t="shared" si="68"/>
        <v>1.4122994818083674</v>
      </c>
      <c r="J83" s="221">
        <f t="shared" si="68"/>
        <v>1.3353765356495189</v>
      </c>
      <c r="K83" s="221">
        <f t="shared" si="68"/>
        <v>1.2653188487270126</v>
      </c>
      <c r="L83" s="221">
        <f t="shared" si="68"/>
        <v>1.212150486737649</v>
      </c>
      <c r="M83" s="222">
        <f t="shared" si="68"/>
        <v>1.212150486737649</v>
      </c>
      <c r="N83" s="220">
        <f t="shared" si="68"/>
        <v>1.2121504867376487</v>
      </c>
      <c r="O83" s="221">
        <f t="shared" si="68"/>
        <v>1.2121504867376487</v>
      </c>
      <c r="P83" s="221">
        <f t="shared" si="68"/>
        <v>1.2121504867376487</v>
      </c>
      <c r="Q83" s="221">
        <f t="shared" si="68"/>
        <v>1.2121504867376487</v>
      </c>
      <c r="R83" s="240">
        <f t="shared" si="68"/>
        <v>1.2121504867376485</v>
      </c>
      <c r="S83" s="240">
        <f t="shared" si="68"/>
        <v>1.212150486737649</v>
      </c>
      <c r="T83" s="240">
        <f t="shared" si="68"/>
        <v>1.2121504867376487</v>
      </c>
      <c r="U83" s="240">
        <f t="shared" si="68"/>
        <v>1.2121504867376485</v>
      </c>
      <c r="V83" s="240">
        <f t="shared" si="68"/>
        <v>1.2121504867376485</v>
      </c>
      <c r="W83" s="240">
        <f t="shared" si="68"/>
        <v>1.2121504867376485</v>
      </c>
      <c r="X83" s="204">
        <f t="shared" si="68"/>
        <v>1.2121504867376485</v>
      </c>
      <c r="Y83" s="204">
        <f t="shared" si="68"/>
        <v>1.2121504867376485</v>
      </c>
      <c r="Z83" s="204">
        <f t="shared" si="68"/>
        <v>1.2121504867376482</v>
      </c>
      <c r="AA83" s="204">
        <f t="shared" si="68"/>
        <v>1.2121504867376482</v>
      </c>
    </row>
    <row r="84" spans="1:27" s="3" customFormat="1" ht="10.5" customHeight="1">
      <c r="A84" s="92">
        <v>45</v>
      </c>
      <c r="B84" s="93" t="s">
        <v>63</v>
      </c>
      <c r="C84" s="82">
        <f aca="true" t="shared" si="69" ref="C84:AA84">C43+C44*C83</f>
        <v>0.2528701481489089</v>
      </c>
      <c r="D84" s="26">
        <f t="shared" si="69"/>
        <v>0.25140308555506097</v>
      </c>
      <c r="E84" s="26">
        <f t="shared" si="69"/>
        <v>0.2526172853562826</v>
      </c>
      <c r="F84" s="26">
        <f t="shared" si="69"/>
        <v>0.24921766484901048</v>
      </c>
      <c r="G84" s="26">
        <f t="shared" si="69"/>
        <v>0.24371576591678148</v>
      </c>
      <c r="H84" s="26">
        <f t="shared" si="69"/>
        <v>0.23756479043242584</v>
      </c>
      <c r="I84" s="26">
        <f t="shared" si="69"/>
        <v>0.23298395854466938</v>
      </c>
      <c r="J84" s="26">
        <f t="shared" si="69"/>
        <v>0.22683012285196152</v>
      </c>
      <c r="K84" s="26">
        <f t="shared" si="69"/>
        <v>0.221225507898161</v>
      </c>
      <c r="L84" s="26">
        <f t="shared" si="69"/>
        <v>0.2169720389390119</v>
      </c>
      <c r="M84" s="83">
        <f t="shared" si="69"/>
        <v>0.2169720389390119</v>
      </c>
      <c r="N84" s="82">
        <f t="shared" si="69"/>
        <v>0.2169720389390119</v>
      </c>
      <c r="O84" s="26">
        <f t="shared" si="69"/>
        <v>0.2169720389390119</v>
      </c>
      <c r="P84" s="26">
        <f t="shared" si="69"/>
        <v>0.2169720389390119</v>
      </c>
      <c r="Q84" s="26">
        <f t="shared" si="69"/>
        <v>0.2169720389390119</v>
      </c>
      <c r="R84" s="23">
        <f t="shared" si="69"/>
        <v>0.21697203893901187</v>
      </c>
      <c r="S84" s="23">
        <f t="shared" si="69"/>
        <v>0.2169720389390119</v>
      </c>
      <c r="T84" s="23">
        <f t="shared" si="69"/>
        <v>0.2169720389390119</v>
      </c>
      <c r="U84" s="23">
        <f t="shared" si="69"/>
        <v>0.21697203893901187</v>
      </c>
      <c r="V84" s="23">
        <f t="shared" si="69"/>
        <v>0.21697203893901187</v>
      </c>
      <c r="W84" s="23">
        <f t="shared" si="69"/>
        <v>0.21697203893901187</v>
      </c>
      <c r="X84" s="23">
        <f t="shared" si="69"/>
        <v>0.21697203893901187</v>
      </c>
      <c r="Y84" s="23">
        <f t="shared" si="69"/>
        <v>0.21697203893901187</v>
      </c>
      <c r="Z84" s="23">
        <f t="shared" si="69"/>
        <v>0.21697203893901185</v>
      </c>
      <c r="AA84" s="23">
        <f t="shared" si="69"/>
        <v>0.21697203893901185</v>
      </c>
    </row>
    <row r="85" spans="1:27" ht="10.5" customHeight="1" hidden="1">
      <c r="A85" s="92"/>
      <c r="B85" s="227" t="s">
        <v>64</v>
      </c>
      <c r="C85" s="228">
        <v>1</v>
      </c>
      <c r="D85" s="203">
        <f>1/(1+C84)</f>
        <v>0.7981673132506832</v>
      </c>
      <c r="E85" s="203">
        <f aca="true" t="shared" si="70" ref="E85:AA85">D85/(1+D84)</f>
        <v>0.6378179201121718</v>
      </c>
      <c r="F85" s="203">
        <f t="shared" si="70"/>
        <v>0.5091881834687895</v>
      </c>
      <c r="G85" s="203">
        <f t="shared" si="70"/>
        <v>0.4076056541598246</v>
      </c>
      <c r="H85" s="203">
        <f t="shared" si="70"/>
        <v>0.32773215981496046</v>
      </c>
      <c r="I85" s="203">
        <f t="shared" si="70"/>
        <v>0.2648202036359206</v>
      </c>
      <c r="J85" s="203">
        <f t="shared" si="70"/>
        <v>0.21477992621128375</v>
      </c>
      <c r="K85" s="223">
        <f t="shared" si="70"/>
        <v>0.17506900279885015</v>
      </c>
      <c r="L85" s="223">
        <f t="shared" si="70"/>
        <v>0.14335518024034696</v>
      </c>
      <c r="M85" s="229">
        <f t="shared" si="70"/>
        <v>0.11779660966190132</v>
      </c>
      <c r="N85" s="230">
        <f t="shared" si="70"/>
        <v>0.0967948366049556</v>
      </c>
      <c r="O85" s="223">
        <f t="shared" si="70"/>
        <v>0.07953743677574043</v>
      </c>
      <c r="P85" s="223">
        <f t="shared" si="70"/>
        <v>0.06535683173549595</v>
      </c>
      <c r="Q85" s="223">
        <f t="shared" si="70"/>
        <v>0.0537044645598232</v>
      </c>
      <c r="R85" s="231">
        <f t="shared" si="70"/>
        <v>0.04412957967928676</v>
      </c>
      <c r="S85" s="231">
        <f t="shared" si="70"/>
        <v>0.03626178602900366</v>
      </c>
      <c r="T85" s="231">
        <f t="shared" si="70"/>
        <v>0.029796728986984475</v>
      </c>
      <c r="U85" s="231">
        <f t="shared" si="70"/>
        <v>0.024484316840148637</v>
      </c>
      <c r="V85" s="231">
        <f t="shared" si="70"/>
        <v>0.020119046335275465</v>
      </c>
      <c r="W85" s="231">
        <f t="shared" si="70"/>
        <v>0.016532053072325126</v>
      </c>
      <c r="X85" s="231">
        <f t="shared" si="70"/>
        <v>0.013584579220684645</v>
      </c>
      <c r="Y85" s="231">
        <f t="shared" si="70"/>
        <v>0.011162605866054274</v>
      </c>
      <c r="Z85" s="231">
        <f t="shared" si="70"/>
        <v>0.00917244234780129</v>
      </c>
      <c r="AA85" s="231">
        <f t="shared" si="70"/>
        <v>0.007537101966449506</v>
      </c>
    </row>
    <row r="86" spans="1:27" ht="10.5" customHeight="1" hidden="1">
      <c r="A86" s="84">
        <v>27</v>
      </c>
      <c r="B86" s="243" t="s">
        <v>65</v>
      </c>
      <c r="C86" s="260"/>
      <c r="D86" s="261">
        <f aca="true" t="shared" si="71" ref="D86:AA86">C39</f>
        <v>87</v>
      </c>
      <c r="E86" s="261">
        <f t="shared" si="71"/>
        <v>19.5</v>
      </c>
      <c r="F86" s="261">
        <f t="shared" si="71"/>
        <v>20.75</v>
      </c>
      <c r="G86" s="261">
        <f t="shared" si="71"/>
        <v>38.25</v>
      </c>
      <c r="H86" s="261">
        <f t="shared" si="71"/>
        <v>25.125</v>
      </c>
      <c r="I86" s="261">
        <f t="shared" si="71"/>
        <v>35</v>
      </c>
      <c r="J86" s="261">
        <f t="shared" si="71"/>
        <v>31.649999999999977</v>
      </c>
      <c r="K86" s="261">
        <f t="shared" si="71"/>
        <v>78.64500000000021</v>
      </c>
      <c r="L86" s="261">
        <f t="shared" si="71"/>
        <v>171.02100000000019</v>
      </c>
      <c r="M86" s="262">
        <f t="shared" si="71"/>
        <v>463.4220500000006</v>
      </c>
      <c r="N86" s="260">
        <f t="shared" si="71"/>
        <v>486.59315250000077</v>
      </c>
      <c r="O86" s="261">
        <f t="shared" si="71"/>
        <v>510.92281012499905</v>
      </c>
      <c r="P86" s="261">
        <f t="shared" si="71"/>
        <v>536.46895063125</v>
      </c>
      <c r="Q86" s="261">
        <f t="shared" si="71"/>
        <v>563.2923981628135</v>
      </c>
      <c r="R86" s="249">
        <f t="shared" si="71"/>
        <v>591.4570180709529</v>
      </c>
      <c r="S86" s="249">
        <f t="shared" si="71"/>
        <v>621.0298689745011</v>
      </c>
      <c r="T86" s="249">
        <f t="shared" si="71"/>
        <v>652.0813624232264</v>
      </c>
      <c r="U86" s="249">
        <f t="shared" si="71"/>
        <v>684.6854305443865</v>
      </c>
      <c r="V86" s="249">
        <f t="shared" si="71"/>
        <v>718.9197020716083</v>
      </c>
      <c r="W86" s="249">
        <f t="shared" si="71"/>
        <v>754.865687175188</v>
      </c>
      <c r="X86" s="249">
        <f t="shared" si="71"/>
        <v>792.6089715339476</v>
      </c>
      <c r="Y86" s="249">
        <f t="shared" si="71"/>
        <v>832.2394201106442</v>
      </c>
      <c r="Z86" s="249">
        <f t="shared" si="71"/>
        <v>873.8513911161738</v>
      </c>
      <c r="AA86" s="249">
        <f t="shared" si="71"/>
        <v>917.5439606719854</v>
      </c>
    </row>
    <row r="87" spans="1:27" ht="10.5" customHeight="1" hidden="1">
      <c r="A87" s="92"/>
      <c r="B87" s="227" t="s">
        <v>52</v>
      </c>
      <c r="C87" s="232"/>
      <c r="D87" s="199">
        <f aca="true" t="shared" si="72" ref="D87:AA87">D86*D85</f>
        <v>69.44055625280944</v>
      </c>
      <c r="E87" s="199">
        <f t="shared" si="72"/>
        <v>12.437449442187349</v>
      </c>
      <c r="F87" s="199">
        <f t="shared" si="72"/>
        <v>10.565654806977381</v>
      </c>
      <c r="G87" s="199">
        <f t="shared" si="72"/>
        <v>15.59091627161329</v>
      </c>
      <c r="H87" s="199">
        <f t="shared" si="72"/>
        <v>8.23427051535088</v>
      </c>
      <c r="I87" s="199">
        <f t="shared" si="72"/>
        <v>9.268707127257223</v>
      </c>
      <c r="J87" s="199">
        <f t="shared" si="72"/>
        <v>6.797784664587126</v>
      </c>
      <c r="K87" s="199">
        <f t="shared" si="72"/>
        <v>13.768301725115608</v>
      </c>
      <c r="L87" s="199">
        <f t="shared" si="72"/>
        <v>24.516746279884405</v>
      </c>
      <c r="M87" s="233">
        <f t="shared" si="72"/>
        <v>54.58954633256818</v>
      </c>
      <c r="N87" s="232">
        <f t="shared" si="72"/>
        <v>47.099704689327815</v>
      </c>
      <c r="O87" s="199">
        <f t="shared" si="72"/>
        <v>40.63749070760075</v>
      </c>
      <c r="P87" s="199">
        <f t="shared" si="72"/>
        <v>35.06191093772469</v>
      </c>
      <c r="Q87" s="199">
        <f t="shared" si="72"/>
        <v>30.251316633952637</v>
      </c>
      <c r="R87" s="187">
        <f t="shared" si="72"/>
        <v>26.100749605835468</v>
      </c>
      <c r="S87" s="187">
        <f t="shared" si="72"/>
        <v>22.519652226373537</v>
      </c>
      <c r="T87" s="187">
        <f t="shared" si="72"/>
        <v>19.42989163358848</v>
      </c>
      <c r="U87" s="187">
        <f t="shared" si="72"/>
        <v>16.76405501728234</v>
      </c>
      <c r="V87" s="187">
        <f t="shared" si="72"/>
        <v>14.46397879732112</v>
      </c>
      <c r="W87" s="187">
        <f t="shared" si="72"/>
        <v>12.479479602857385</v>
      </c>
      <c r="X87" s="187">
        <f t="shared" si="72"/>
        <v>10.767259364828293</v>
      </c>
      <c r="Y87" s="187">
        <f t="shared" si="72"/>
        <v>9.289960632888684</v>
      </c>
      <c r="Z87" s="187">
        <f t="shared" si="72"/>
        <v>8.01535150555906</v>
      </c>
      <c r="AA87" s="187">
        <f t="shared" si="72"/>
        <v>6.91562239028469</v>
      </c>
    </row>
    <row r="88" spans="1:27" ht="10.5" customHeight="1" hidden="1">
      <c r="A88" s="92"/>
      <c r="B88" s="227" t="s">
        <v>53</v>
      </c>
      <c r="C88" s="232">
        <f>SUM(D87:M87)</f>
        <v>225.2099334183509</v>
      </c>
      <c r="D88" s="199">
        <f aca="true" t="shared" si="73" ref="D88:M88">SUM(E87:N87)/D85</f>
        <v>254.16861663834314</v>
      </c>
      <c r="E88" s="199">
        <f t="shared" si="73"/>
        <v>362.2807008615327</v>
      </c>
      <c r="F88" s="199">
        <f t="shared" si="73"/>
        <v>501.907521714307</v>
      </c>
      <c r="G88" s="199">
        <f t="shared" si="73"/>
        <v>662.9588595142799</v>
      </c>
      <c r="H88" s="199">
        <f t="shared" si="73"/>
        <v>879.0478751505879</v>
      </c>
      <c r="I88" s="199">
        <f t="shared" si="73"/>
        <v>1137.916215098384</v>
      </c>
      <c r="J88" s="199">
        <f t="shared" si="73"/>
        <v>1461.8466274315929</v>
      </c>
      <c r="K88" s="199">
        <f t="shared" si="73"/>
        <v>1810.5493205346575</v>
      </c>
      <c r="L88" s="199">
        <f t="shared" si="73"/>
        <v>2140.964114913746</v>
      </c>
      <c r="M88" s="233">
        <f t="shared" si="73"/>
        <v>2248.0123206594335</v>
      </c>
      <c r="N88" s="232">
        <f>SUM(O87:X87)/N85</f>
        <v>2360.412936692405</v>
      </c>
      <c r="O88" s="199">
        <f>SUM(P87:Y87)/O85</f>
        <v>2478.4335835270267</v>
      </c>
      <c r="P88" s="199">
        <f>SUM(Q87:Z87)/P85</f>
        <v>2602.3552627033782</v>
      </c>
      <c r="Q88" s="199">
        <f>SUM(R87:AA87)/Q85</f>
        <v>2732.4730258385457</v>
      </c>
      <c r="R88" s="199">
        <f aca="true" t="shared" si="74" ref="R88:AA89">Q88*1.05</f>
        <v>2869.096677130473</v>
      </c>
      <c r="S88" s="199">
        <f t="shared" si="74"/>
        <v>3012.5515109869966</v>
      </c>
      <c r="T88" s="199">
        <f t="shared" si="74"/>
        <v>3163.1790865363464</v>
      </c>
      <c r="U88" s="199">
        <f t="shared" si="74"/>
        <v>3321.3380408631638</v>
      </c>
      <c r="V88" s="199">
        <f t="shared" si="74"/>
        <v>3487.404942906322</v>
      </c>
      <c r="W88" s="199">
        <f t="shared" si="74"/>
        <v>3661.775190051638</v>
      </c>
      <c r="X88" s="199">
        <f t="shared" si="74"/>
        <v>3844.86394955422</v>
      </c>
      <c r="Y88" s="199">
        <f t="shared" si="74"/>
        <v>4037.107147031931</v>
      </c>
      <c r="Z88" s="199">
        <f t="shared" si="74"/>
        <v>4238.962504383528</v>
      </c>
      <c r="AA88" s="199">
        <f t="shared" si="74"/>
        <v>4450.910629602704</v>
      </c>
    </row>
    <row r="89" spans="1:27" ht="10.5" customHeight="1" hidden="1">
      <c r="A89" s="92"/>
      <c r="B89" s="227" t="s">
        <v>41</v>
      </c>
      <c r="C89" s="232">
        <f>N86/(N84-$N$5)*M85</f>
        <v>343.28516327295324</v>
      </c>
      <c r="D89" s="199">
        <f aca="true" t="shared" si="75" ref="D89:M89">O86/(O84-$N$5)*N85/D85</f>
        <v>371.08191937521804</v>
      </c>
      <c r="E89" s="199">
        <f t="shared" si="75"/>
        <v>400.65974915079426</v>
      </c>
      <c r="F89" s="199">
        <f t="shared" si="75"/>
        <v>433.0148736686353</v>
      </c>
      <c r="G89" s="199">
        <f t="shared" si="75"/>
        <v>466.7127120610418</v>
      </c>
      <c r="H89" s="199">
        <f t="shared" si="75"/>
        <v>500.8174687256278</v>
      </c>
      <c r="I89" s="199">
        <f t="shared" si="75"/>
        <v>534.756550020752</v>
      </c>
      <c r="J89" s="199">
        <f t="shared" si="75"/>
        <v>568.8820598548567</v>
      </c>
      <c r="K89" s="199">
        <f t="shared" si="75"/>
        <v>602.1648043679817</v>
      </c>
      <c r="L89" s="199">
        <f t="shared" si="75"/>
        <v>634.4829176835465</v>
      </c>
      <c r="M89" s="233">
        <f t="shared" si="75"/>
        <v>666.207063567724</v>
      </c>
      <c r="N89" s="232">
        <f>Y86/(Y84-$N$5)*X85/N85</f>
        <v>699.5174167461097</v>
      </c>
      <c r="O89" s="199">
        <f>Z86/(Z84-$N$5)*Y85/O85</f>
        <v>734.4932875834128</v>
      </c>
      <c r="P89" s="199">
        <f>AA86/(AA84-$N$5)*Z85/P85</f>
        <v>771.2179519625861</v>
      </c>
      <c r="Q89" s="199">
        <f>P89*1.05</f>
        <v>809.7788495607155</v>
      </c>
      <c r="R89" s="199">
        <f t="shared" si="74"/>
        <v>850.2677920387513</v>
      </c>
      <c r="S89" s="199">
        <f t="shared" si="74"/>
        <v>892.7811816406888</v>
      </c>
      <c r="T89" s="199">
        <f t="shared" si="74"/>
        <v>937.4202407227233</v>
      </c>
      <c r="U89" s="199">
        <f t="shared" si="74"/>
        <v>984.2912527588595</v>
      </c>
      <c r="V89" s="199">
        <f t="shared" si="74"/>
        <v>1033.5058153968025</v>
      </c>
      <c r="W89" s="199">
        <f t="shared" si="74"/>
        <v>1085.1811061666426</v>
      </c>
      <c r="X89" s="199">
        <f t="shared" si="74"/>
        <v>1139.4401614749747</v>
      </c>
      <c r="Y89" s="199">
        <f t="shared" si="74"/>
        <v>1196.4121695487236</v>
      </c>
      <c r="Z89" s="199">
        <f t="shared" si="74"/>
        <v>1256.2327780261598</v>
      </c>
      <c r="AA89" s="199">
        <f t="shared" si="74"/>
        <v>1319.0444169274679</v>
      </c>
    </row>
    <row r="90" spans="1:27" s="259" customFormat="1" ht="10.5" customHeight="1" thickBot="1">
      <c r="A90" s="138">
        <v>46</v>
      </c>
      <c r="B90" s="147" t="s">
        <v>66</v>
      </c>
      <c r="C90" s="140">
        <f aca="true" t="shared" si="76" ref="C90:AA90">C88+C89</f>
        <v>568.4950966913041</v>
      </c>
      <c r="D90" s="141">
        <f t="shared" si="76"/>
        <v>625.2505360135611</v>
      </c>
      <c r="E90" s="141">
        <f t="shared" si="76"/>
        <v>762.9404500123269</v>
      </c>
      <c r="F90" s="141">
        <f t="shared" si="76"/>
        <v>934.9223953829423</v>
      </c>
      <c r="G90" s="141">
        <f t="shared" si="76"/>
        <v>1129.6715715753217</v>
      </c>
      <c r="H90" s="141">
        <f t="shared" si="76"/>
        <v>1379.8653438762158</v>
      </c>
      <c r="I90" s="141">
        <f t="shared" si="76"/>
        <v>1672.672765119136</v>
      </c>
      <c r="J90" s="141">
        <f t="shared" si="76"/>
        <v>2030.7286872864497</v>
      </c>
      <c r="K90" s="141">
        <f t="shared" si="76"/>
        <v>2412.714124902639</v>
      </c>
      <c r="L90" s="141">
        <f t="shared" si="76"/>
        <v>2775.4470325972925</v>
      </c>
      <c r="M90" s="142">
        <f t="shared" si="76"/>
        <v>2914.2193842271577</v>
      </c>
      <c r="N90" s="140">
        <f t="shared" si="76"/>
        <v>3059.9303534385144</v>
      </c>
      <c r="O90" s="141">
        <f t="shared" si="76"/>
        <v>3212.9268711104396</v>
      </c>
      <c r="P90" s="141">
        <f t="shared" si="76"/>
        <v>3373.5732146659643</v>
      </c>
      <c r="Q90" s="141">
        <f t="shared" si="76"/>
        <v>3542.2518753992613</v>
      </c>
      <c r="R90" s="143">
        <f t="shared" si="76"/>
        <v>3719.3644691692243</v>
      </c>
      <c r="S90" s="143">
        <f t="shared" si="76"/>
        <v>3905.3326926276854</v>
      </c>
      <c r="T90" s="143">
        <f t="shared" si="76"/>
        <v>4100.5993272590695</v>
      </c>
      <c r="U90" s="143">
        <f t="shared" si="76"/>
        <v>4305.629293622023</v>
      </c>
      <c r="V90" s="143">
        <f t="shared" si="76"/>
        <v>4520.910758303125</v>
      </c>
      <c r="W90" s="143">
        <f t="shared" si="76"/>
        <v>4746.956296218281</v>
      </c>
      <c r="X90" s="143">
        <f t="shared" si="76"/>
        <v>4984.304111029195</v>
      </c>
      <c r="Y90" s="143">
        <f t="shared" si="76"/>
        <v>5233.519316580655</v>
      </c>
      <c r="Z90" s="143">
        <f t="shared" si="76"/>
        <v>5495.195282409688</v>
      </c>
      <c r="AA90" s="143">
        <f t="shared" si="76"/>
        <v>5769.955046530172</v>
      </c>
    </row>
    <row r="91" spans="1:27" ht="10.5" customHeight="1">
      <c r="A91" s="148">
        <v>47</v>
      </c>
      <c r="B91" s="211" t="s">
        <v>67</v>
      </c>
      <c r="C91" s="263">
        <f>C90</f>
        <v>568.4950966913041</v>
      </c>
      <c r="D91" s="264">
        <f aca="true" t="shared" si="77" ref="D91:AA91">C91*(1+C84)-D86</f>
        <v>625.2505360135624</v>
      </c>
      <c r="E91" s="264">
        <f t="shared" si="77"/>
        <v>762.9404500123278</v>
      </c>
      <c r="F91" s="264">
        <f t="shared" si="77"/>
        <v>934.9223953829426</v>
      </c>
      <c r="G91" s="264">
        <f t="shared" si="77"/>
        <v>1129.6715715753228</v>
      </c>
      <c r="H91" s="264">
        <f t="shared" si="77"/>
        <v>1379.8653438762167</v>
      </c>
      <c r="I91" s="264">
        <f t="shared" si="77"/>
        <v>1672.6727651191372</v>
      </c>
      <c r="J91" s="264">
        <f t="shared" si="77"/>
        <v>2030.7286872864515</v>
      </c>
      <c r="K91" s="264">
        <f t="shared" si="77"/>
        <v>2412.71412490264</v>
      </c>
      <c r="L91" s="264">
        <f t="shared" si="77"/>
        <v>2775.4470325972934</v>
      </c>
      <c r="M91" s="265">
        <f t="shared" si="77"/>
        <v>2914.219384227158</v>
      </c>
      <c r="N91" s="263">
        <f t="shared" si="77"/>
        <v>3059.9303534385153</v>
      </c>
      <c r="O91" s="264">
        <f t="shared" si="77"/>
        <v>3212.9268711104423</v>
      </c>
      <c r="P91" s="264">
        <f t="shared" si="77"/>
        <v>3373.5732146659648</v>
      </c>
      <c r="Q91" s="264">
        <f t="shared" si="77"/>
        <v>3542.2518753992626</v>
      </c>
      <c r="R91" s="266">
        <f t="shared" si="77"/>
        <v>3719.3644691692266</v>
      </c>
      <c r="S91" s="266">
        <f t="shared" si="77"/>
        <v>3905.3326926276886</v>
      </c>
      <c r="T91" s="266">
        <f t="shared" si="77"/>
        <v>4100.599327259073</v>
      </c>
      <c r="U91" s="266">
        <f t="shared" si="77"/>
        <v>4305.629293622028</v>
      </c>
      <c r="V91" s="266">
        <f t="shared" si="77"/>
        <v>4520.910758303129</v>
      </c>
      <c r="W91" s="266">
        <f t="shared" si="77"/>
        <v>4746.956296218285</v>
      </c>
      <c r="X91" s="266">
        <f t="shared" si="77"/>
        <v>4984.3041110292</v>
      </c>
      <c r="Y91" s="266">
        <f t="shared" si="77"/>
        <v>5233.51931658066</v>
      </c>
      <c r="Z91" s="266">
        <f t="shared" si="77"/>
        <v>5495.195282409697</v>
      </c>
      <c r="AA91" s="266">
        <f t="shared" si="77"/>
        <v>5769.955046530182</v>
      </c>
    </row>
    <row r="92" spans="1:27" s="3" customFormat="1" ht="10.5" customHeight="1">
      <c r="A92" s="92">
        <v>48</v>
      </c>
      <c r="B92" s="93" t="s">
        <v>68</v>
      </c>
      <c r="C92" s="82">
        <f aca="true" t="shared" si="78" ref="C92:AA92">(C91*C84+C66*C68-C57*C58*$A126)/(C91+C66)</f>
        <v>0.15130295233685281</v>
      </c>
      <c r="D92" s="26">
        <f t="shared" si="78"/>
        <v>0.15251012032657355</v>
      </c>
      <c r="E92" s="26">
        <f t="shared" si="78"/>
        <v>0.15283350519215688</v>
      </c>
      <c r="F92" s="26">
        <f t="shared" si="78"/>
        <v>0.1550103121632202</v>
      </c>
      <c r="G92" s="26">
        <f t="shared" si="78"/>
        <v>0.1583641875493275</v>
      </c>
      <c r="H92" s="26">
        <f t="shared" si="78"/>
        <v>0.1624401522538766</v>
      </c>
      <c r="I92" s="26">
        <f t="shared" si="78"/>
        <v>0.16579704246459592</v>
      </c>
      <c r="J92" s="26">
        <f t="shared" si="78"/>
        <v>0.17076349816309513</v>
      </c>
      <c r="K92" s="26">
        <f t="shared" si="78"/>
        <v>0.17586719664619427</v>
      </c>
      <c r="L92" s="26">
        <f t="shared" si="78"/>
        <v>0.1801632024145938</v>
      </c>
      <c r="M92" s="83">
        <f t="shared" si="78"/>
        <v>0.1801632024145938</v>
      </c>
      <c r="N92" s="82">
        <f t="shared" si="78"/>
        <v>0.18016320241459383</v>
      </c>
      <c r="O92" s="26">
        <f t="shared" si="78"/>
        <v>0.18016320241459383</v>
      </c>
      <c r="P92" s="26">
        <f t="shared" si="78"/>
        <v>0.18016320241459377</v>
      </c>
      <c r="Q92" s="26">
        <f t="shared" si="78"/>
        <v>0.18016320241459383</v>
      </c>
      <c r="R92" s="23">
        <f t="shared" si="78"/>
        <v>0.1801632024145938</v>
      </c>
      <c r="S92" s="23">
        <f t="shared" si="78"/>
        <v>0.18016320241459383</v>
      </c>
      <c r="T92" s="153">
        <f t="shared" si="78"/>
        <v>0.18016320241459383</v>
      </c>
      <c r="U92" s="153">
        <f t="shared" si="78"/>
        <v>0.18016320241459374</v>
      </c>
      <c r="V92" s="153">
        <f t="shared" si="78"/>
        <v>0.18016320241459377</v>
      </c>
      <c r="W92" s="153">
        <f t="shared" si="78"/>
        <v>0.1801632024145938</v>
      </c>
      <c r="X92" s="153">
        <f t="shared" si="78"/>
        <v>0.1801632024145938</v>
      </c>
      <c r="Y92" s="153">
        <f t="shared" si="78"/>
        <v>0.1801632024145938</v>
      </c>
      <c r="Z92" s="153">
        <f t="shared" si="78"/>
        <v>0.18016320241459377</v>
      </c>
      <c r="AA92" s="153">
        <f t="shared" si="78"/>
        <v>0.18016320241459374</v>
      </c>
    </row>
    <row r="93" spans="1:27" ht="10.5" customHeight="1" hidden="1">
      <c r="A93" s="92"/>
      <c r="B93" s="227" t="s">
        <v>69</v>
      </c>
      <c r="C93" s="228">
        <v>1</v>
      </c>
      <c r="D93" s="203">
        <f>1/(1+C92)</f>
        <v>0.8685811132250237</v>
      </c>
      <c r="E93" s="203">
        <f aca="true" t="shared" si="79" ref="E93:AA93">D93/(1+D92)</f>
        <v>0.7536429380584562</v>
      </c>
      <c r="F93" s="203">
        <f t="shared" si="79"/>
        <v>0.6537309461116307</v>
      </c>
      <c r="G93" s="203">
        <f t="shared" si="79"/>
        <v>0.5659957657756814</v>
      </c>
      <c r="H93" s="203">
        <f t="shared" si="79"/>
        <v>0.4886164229344143</v>
      </c>
      <c r="I93" s="203">
        <f t="shared" si="79"/>
        <v>0.4203368422770213</v>
      </c>
      <c r="J93" s="203">
        <f t="shared" si="79"/>
        <v>0.3605574786743264</v>
      </c>
      <c r="K93" s="203">
        <f t="shared" si="79"/>
        <v>0.3079678169331671</v>
      </c>
      <c r="L93" s="203">
        <f t="shared" si="79"/>
        <v>0.26190697198761237</v>
      </c>
      <c r="M93" s="267">
        <f t="shared" si="79"/>
        <v>0.22192436728391055</v>
      </c>
      <c r="N93" s="228">
        <f t="shared" si="79"/>
        <v>0.18804548966605386</v>
      </c>
      <c r="O93" s="203">
        <f t="shared" si="79"/>
        <v>0.15933854680548926</v>
      </c>
      <c r="P93" s="203">
        <f t="shared" si="79"/>
        <v>0.13501399338624123</v>
      </c>
      <c r="Q93" s="203">
        <f t="shared" si="79"/>
        <v>0.11440281573769195</v>
      </c>
      <c r="R93" s="204">
        <f t="shared" si="79"/>
        <v>0.0969381315258989</v>
      </c>
      <c r="S93" s="204">
        <f t="shared" si="79"/>
        <v>0.08213959842805227</v>
      </c>
      <c r="T93" s="204">
        <f t="shared" si="79"/>
        <v>0.0696002029719246</v>
      </c>
      <c r="U93" s="204">
        <f t="shared" si="79"/>
        <v>0.058975066185357895</v>
      </c>
      <c r="V93" s="204">
        <f t="shared" si="79"/>
        <v>0.049971958170442796</v>
      </c>
      <c r="W93" s="204">
        <f t="shared" si="79"/>
        <v>0.04234326071868791</v>
      </c>
      <c r="X93" s="204">
        <f t="shared" si="79"/>
        <v>0.03587915690987002</v>
      </c>
      <c r="Y93" s="204">
        <f t="shared" si="79"/>
        <v>0.030401860383768853</v>
      </c>
      <c r="Z93" s="204">
        <f t="shared" si="79"/>
        <v>0.025760725568774866</v>
      </c>
      <c r="AA93" s="204">
        <f t="shared" si="79"/>
        <v>0.021828104380876186</v>
      </c>
    </row>
    <row r="94" spans="1:27" ht="10.5" customHeight="1" hidden="1">
      <c r="A94" s="84">
        <v>28</v>
      </c>
      <c r="B94" s="243" t="s">
        <v>34</v>
      </c>
      <c r="C94" s="260"/>
      <c r="D94" s="261">
        <f aca="true" t="shared" si="80" ref="D94:AA94">C40</f>
        <v>262.5</v>
      </c>
      <c r="E94" s="261">
        <f t="shared" si="80"/>
        <v>-305</v>
      </c>
      <c r="F94" s="261">
        <f t="shared" si="80"/>
        <v>245</v>
      </c>
      <c r="G94" s="261">
        <f t="shared" si="80"/>
        <v>512.5</v>
      </c>
      <c r="H94" s="261">
        <f t="shared" si="80"/>
        <v>475</v>
      </c>
      <c r="I94" s="261">
        <f t="shared" si="80"/>
        <v>310.5</v>
      </c>
      <c r="J94" s="261">
        <f t="shared" si="80"/>
        <v>447.4</v>
      </c>
      <c r="K94" s="261">
        <f t="shared" si="80"/>
        <v>470.0200000000002</v>
      </c>
      <c r="L94" s="261">
        <f t="shared" si="80"/>
        <v>488.0210000000002</v>
      </c>
      <c r="M94" s="262">
        <f t="shared" si="80"/>
        <v>510.9220500000006</v>
      </c>
      <c r="N94" s="260">
        <f t="shared" si="80"/>
        <v>536.4681525000008</v>
      </c>
      <c r="O94" s="261">
        <f t="shared" si="80"/>
        <v>563.291560124999</v>
      </c>
      <c r="P94" s="261">
        <f t="shared" si="80"/>
        <v>591.4561381312499</v>
      </c>
      <c r="Q94" s="261">
        <f t="shared" si="80"/>
        <v>621.0289450378133</v>
      </c>
      <c r="R94" s="249">
        <f t="shared" si="80"/>
        <v>652.0803922897028</v>
      </c>
      <c r="S94" s="249">
        <f t="shared" si="80"/>
        <v>684.6844119041887</v>
      </c>
      <c r="T94" s="249">
        <f t="shared" si="80"/>
        <v>718.9186324993982</v>
      </c>
      <c r="U94" s="249">
        <f t="shared" si="80"/>
        <v>754.864564124367</v>
      </c>
      <c r="V94" s="249">
        <f t="shared" si="80"/>
        <v>792.6077923305877</v>
      </c>
      <c r="W94" s="249">
        <f t="shared" si="80"/>
        <v>832.2381819471166</v>
      </c>
      <c r="X94" s="249">
        <f t="shared" si="80"/>
        <v>873.8500910444725</v>
      </c>
      <c r="Y94" s="249">
        <f t="shared" si="80"/>
        <v>917.5425955966954</v>
      </c>
      <c r="Z94" s="249">
        <f t="shared" si="80"/>
        <v>963.4197253765276</v>
      </c>
      <c r="AA94" s="249">
        <f t="shared" si="80"/>
        <v>1011.5907116453566</v>
      </c>
    </row>
    <row r="95" spans="1:27" ht="10.5" customHeight="1" hidden="1">
      <c r="A95" s="92"/>
      <c r="B95" s="227" t="s">
        <v>70</v>
      </c>
      <c r="C95" s="232"/>
      <c r="D95" s="199">
        <f aca="true" t="shared" si="81" ref="D95:AA95">D94*D93</f>
        <v>228.00254222156872</v>
      </c>
      <c r="E95" s="199">
        <f t="shared" si="81"/>
        <v>-229.86109610782913</v>
      </c>
      <c r="F95" s="199">
        <f t="shared" si="81"/>
        <v>160.16408179734952</v>
      </c>
      <c r="G95" s="199">
        <f t="shared" si="81"/>
        <v>290.07282996003676</v>
      </c>
      <c r="H95" s="199">
        <f t="shared" si="81"/>
        <v>232.0928008938468</v>
      </c>
      <c r="I95" s="199">
        <f t="shared" si="81"/>
        <v>130.51458952701512</v>
      </c>
      <c r="J95" s="199">
        <f t="shared" si="81"/>
        <v>161.31341595889364</v>
      </c>
      <c r="K95" s="199">
        <f t="shared" si="81"/>
        <v>144.75103331492727</v>
      </c>
      <c r="L95" s="199">
        <f t="shared" si="81"/>
        <v>127.81610237636663</v>
      </c>
      <c r="M95" s="233">
        <f t="shared" si="81"/>
        <v>113.38605267764864</v>
      </c>
      <c r="N95" s="232">
        <f t="shared" si="81"/>
        <v>100.8804164271059</v>
      </c>
      <c r="O95" s="199">
        <f t="shared" si="81"/>
        <v>89.75405861811423</v>
      </c>
      <c r="P95" s="199">
        <f t="shared" si="81"/>
        <v>79.85485512190435</v>
      </c>
      <c r="Q95" s="199">
        <f t="shared" si="81"/>
        <v>71.04745996693418</v>
      </c>
      <c r="R95" s="187">
        <f t="shared" si="81"/>
        <v>63.21145483323896</v>
      </c>
      <c r="S95" s="187">
        <f t="shared" si="81"/>
        <v>56.239702643757184</v>
      </c>
      <c r="T95" s="187">
        <f t="shared" si="81"/>
        <v>50.03688274225658</v>
      </c>
      <c r="U95" s="187">
        <f t="shared" si="81"/>
        <v>44.518187630215884</v>
      </c>
      <c r="V95" s="187">
        <f t="shared" si="81"/>
        <v>39.60816344391114</v>
      </c>
      <c r="W95" s="187">
        <f t="shared" si="81"/>
        <v>35.23967831823358</v>
      </c>
      <c r="X95" s="187">
        <f t="shared" si="81"/>
        <v>31.353004532288832</v>
      </c>
      <c r="Y95" s="187">
        <f t="shared" si="81"/>
        <v>27.89500188749162</v>
      </c>
      <c r="Z95" s="187">
        <f t="shared" si="81"/>
        <v>24.818391152969173</v>
      </c>
      <c r="AA95" s="187">
        <f t="shared" si="81"/>
        <v>22.081107644519665</v>
      </c>
    </row>
    <row r="96" spans="1:27" ht="10.5" customHeight="1" hidden="1">
      <c r="A96" s="92"/>
      <c r="B96" s="227" t="s">
        <v>53</v>
      </c>
      <c r="C96" s="232">
        <f>SUM(D95:M95)</f>
        <v>1358.252352619824</v>
      </c>
      <c r="D96" s="199">
        <f aca="true" t="shared" si="82" ref="D96:M96">SUM(E95:N95)/D93</f>
        <v>1417.4038648551775</v>
      </c>
      <c r="E96" s="199">
        <f t="shared" si="82"/>
        <v>2057.6659094641727</v>
      </c>
      <c r="F96" s="199">
        <f t="shared" si="82"/>
        <v>2249.2986810888538</v>
      </c>
      <c r="G96" s="199">
        <f t="shared" si="82"/>
        <v>2210.989658496355</v>
      </c>
      <c r="H96" s="199">
        <f t="shared" si="82"/>
        <v>2215.499496150693</v>
      </c>
      <c r="I96" s="199">
        <f t="shared" si="82"/>
        <v>2398.6823198200764</v>
      </c>
      <c r="J96" s="199">
        <f t="shared" si="82"/>
        <v>2487.753192695385</v>
      </c>
      <c r="K96" s="199">
        <f t="shared" si="82"/>
        <v>2587.105305261316</v>
      </c>
      <c r="L96" s="199">
        <f t="shared" si="82"/>
        <v>2705.3011560860596</v>
      </c>
      <c r="M96" s="233">
        <f t="shared" si="82"/>
        <v>2840.5662138903626</v>
      </c>
      <c r="N96" s="232">
        <f>SUM(O95:X95)/N93</f>
        <v>2982.5945245848807</v>
      </c>
      <c r="O96" s="199">
        <f>SUM(P95:Y95)/O93</f>
        <v>3131.7242508141258</v>
      </c>
      <c r="P96" s="199">
        <f>SUM(Q95:Z95)/P93</f>
        <v>3288.3104633548323</v>
      </c>
      <c r="Q96" s="199">
        <f>SUM(R95:AA95)/Q93</f>
        <v>3452.7259865225733</v>
      </c>
      <c r="R96" s="187">
        <f>Q96*1.05</f>
        <v>3625.362285848702</v>
      </c>
      <c r="S96" s="187">
        <f aca="true" t="shared" si="83" ref="S96:AA97">R96*1.05</f>
        <v>3806.630400141137</v>
      </c>
      <c r="T96" s="187">
        <f t="shared" si="83"/>
        <v>3996.961920148194</v>
      </c>
      <c r="U96" s="187">
        <f t="shared" si="83"/>
        <v>4196.810016155604</v>
      </c>
      <c r="V96" s="187">
        <f t="shared" si="83"/>
        <v>4406.650516963385</v>
      </c>
      <c r="W96" s="187">
        <f t="shared" si="83"/>
        <v>4626.983042811554</v>
      </c>
      <c r="X96" s="187">
        <f t="shared" si="83"/>
        <v>4858.332194952131</v>
      </c>
      <c r="Y96" s="187">
        <f t="shared" si="83"/>
        <v>5101.248804699738</v>
      </c>
      <c r="Z96" s="187">
        <f t="shared" si="83"/>
        <v>5356.3112449347245</v>
      </c>
      <c r="AA96" s="187">
        <f t="shared" si="83"/>
        <v>5624.126807181461</v>
      </c>
    </row>
    <row r="97" spans="1:27" ht="10.5" customHeight="1" hidden="1">
      <c r="A97" s="92"/>
      <c r="B97" s="227" t="s">
        <v>41</v>
      </c>
      <c r="C97" s="232">
        <f>N94/(N92-$N$5)*M93</f>
        <v>914.6621556860426</v>
      </c>
      <c r="D97" s="199">
        <f aca="true" t="shared" si="84" ref="D97:M97">O94/(O92-$N$5)*N93/D93</f>
        <v>936.9093189666296</v>
      </c>
      <c r="E97" s="199">
        <f t="shared" si="84"/>
        <v>960.7038613087383</v>
      </c>
      <c r="F97" s="199">
        <f t="shared" si="84"/>
        <v>985.3791217173293</v>
      </c>
      <c r="G97" s="199">
        <f t="shared" si="84"/>
        <v>1012.5965602702523</v>
      </c>
      <c r="H97" s="199">
        <f t="shared" si="84"/>
        <v>1043.5873351460973</v>
      </c>
      <c r="I97" s="199">
        <f t="shared" si="84"/>
        <v>1079.3110725611689</v>
      </c>
      <c r="J97" s="199">
        <f t="shared" si="84"/>
        <v>1119.4812178540758</v>
      </c>
      <c r="K97" s="199">
        <f t="shared" si="84"/>
        <v>1166.0930719278638</v>
      </c>
      <c r="L97" s="199">
        <f t="shared" si="84"/>
        <v>1219.9406981564266</v>
      </c>
      <c r="M97" s="233">
        <f t="shared" si="84"/>
        <v>1280.937733064248</v>
      </c>
      <c r="N97" s="232">
        <f>Y94/(Y92-$N$5)*X93/N93</f>
        <v>1344.9846197174593</v>
      </c>
      <c r="O97" s="199">
        <f>Z94/(Z92-$N$5)*Y93/O93</f>
        <v>1412.2338507033287</v>
      </c>
      <c r="P97" s="199">
        <f>AA94/(AA92-$N$5)*Z93/P93</f>
        <v>1482.8455432384999</v>
      </c>
      <c r="Q97" s="199">
        <f>P97*1.05</f>
        <v>1556.9878204004249</v>
      </c>
      <c r="R97" s="187">
        <f>Q97*1.05</f>
        <v>1634.8372114204462</v>
      </c>
      <c r="S97" s="187">
        <f t="shared" si="83"/>
        <v>1716.5790719914687</v>
      </c>
      <c r="T97" s="187">
        <f t="shared" si="83"/>
        <v>1802.4080255910421</v>
      </c>
      <c r="U97" s="187">
        <f t="shared" si="83"/>
        <v>1892.5284268705943</v>
      </c>
      <c r="V97" s="187">
        <f t="shared" si="83"/>
        <v>1987.154848214124</v>
      </c>
      <c r="W97" s="187">
        <f t="shared" si="83"/>
        <v>2086.5125906248304</v>
      </c>
      <c r="X97" s="187">
        <f t="shared" si="83"/>
        <v>2190.838220156072</v>
      </c>
      <c r="Y97" s="187">
        <f t="shared" si="83"/>
        <v>2300.380131163876</v>
      </c>
      <c r="Z97" s="187">
        <f t="shared" si="83"/>
        <v>2415.3991377220696</v>
      </c>
      <c r="AA97" s="187">
        <f t="shared" si="83"/>
        <v>2536.169094608173</v>
      </c>
    </row>
    <row r="98" spans="1:27" ht="10.5" customHeight="1">
      <c r="A98" s="92">
        <v>49</v>
      </c>
      <c r="B98" s="243" t="s">
        <v>71</v>
      </c>
      <c r="C98" s="268">
        <f aca="true" t="shared" si="85" ref="C98:AA98">C96+C97</f>
        <v>2272.9145083058665</v>
      </c>
      <c r="D98" s="215">
        <f t="shared" si="85"/>
        <v>2354.313183821807</v>
      </c>
      <c r="E98" s="215">
        <f t="shared" si="85"/>
        <v>3018.369770772911</v>
      </c>
      <c r="F98" s="215">
        <f t="shared" si="85"/>
        <v>3234.677802806183</v>
      </c>
      <c r="G98" s="215">
        <f t="shared" si="85"/>
        <v>3223.586218766607</v>
      </c>
      <c r="H98" s="215">
        <f t="shared" si="85"/>
        <v>3259.0868312967905</v>
      </c>
      <c r="I98" s="215">
        <f t="shared" si="85"/>
        <v>3477.993392381245</v>
      </c>
      <c r="J98" s="215">
        <f t="shared" si="85"/>
        <v>3607.2344105494612</v>
      </c>
      <c r="K98" s="215">
        <f t="shared" si="85"/>
        <v>3753.19837718918</v>
      </c>
      <c r="L98" s="215">
        <f t="shared" si="85"/>
        <v>3925.241854242486</v>
      </c>
      <c r="M98" s="269">
        <f t="shared" si="85"/>
        <v>4121.503946954611</v>
      </c>
      <c r="N98" s="268">
        <f t="shared" si="85"/>
        <v>4327.57914430234</v>
      </c>
      <c r="O98" s="215">
        <f t="shared" si="85"/>
        <v>4543.958101517454</v>
      </c>
      <c r="P98" s="215">
        <f t="shared" si="85"/>
        <v>4771.156006593332</v>
      </c>
      <c r="Q98" s="215">
        <f t="shared" si="85"/>
        <v>5009.713806922999</v>
      </c>
      <c r="R98" s="216">
        <f t="shared" si="85"/>
        <v>5260.199497269148</v>
      </c>
      <c r="S98" s="216">
        <f t="shared" si="85"/>
        <v>5523.209472132606</v>
      </c>
      <c r="T98" s="216">
        <f t="shared" si="85"/>
        <v>5799.369945739236</v>
      </c>
      <c r="U98" s="216">
        <f t="shared" si="85"/>
        <v>6089.338443026199</v>
      </c>
      <c r="V98" s="216">
        <f t="shared" si="85"/>
        <v>6393.805365177509</v>
      </c>
      <c r="W98" s="216">
        <f t="shared" si="85"/>
        <v>6713.495633436384</v>
      </c>
      <c r="X98" s="216">
        <f t="shared" si="85"/>
        <v>7049.170415108203</v>
      </c>
      <c r="Y98" s="216">
        <f t="shared" si="85"/>
        <v>7401.628935863613</v>
      </c>
      <c r="Z98" s="216">
        <f t="shared" si="85"/>
        <v>7771.7103826567945</v>
      </c>
      <c r="AA98" s="216">
        <f t="shared" si="85"/>
        <v>8160.295901789634</v>
      </c>
    </row>
    <row r="99" spans="1:27" ht="10.5" customHeight="1" hidden="1">
      <c r="A99" s="92"/>
      <c r="B99" s="243"/>
      <c r="C99" s="268"/>
      <c r="D99" s="215">
        <f aca="true" t="shared" si="86" ref="D99:Z99">C98*(1+C92)-D94</f>
        <v>2354.31318382181</v>
      </c>
      <c r="E99" s="215">
        <f t="shared" si="86"/>
        <v>3018.369770772909</v>
      </c>
      <c r="F99" s="215">
        <f t="shared" si="86"/>
        <v>3234.6778028061817</v>
      </c>
      <c r="G99" s="215">
        <f t="shared" si="86"/>
        <v>3223.586218766609</v>
      </c>
      <c r="H99" s="215">
        <f t="shared" si="86"/>
        <v>3259.0868312967896</v>
      </c>
      <c r="I99" s="215">
        <f t="shared" si="86"/>
        <v>3477.993392381245</v>
      </c>
      <c r="J99" s="215">
        <f t="shared" si="86"/>
        <v>3607.2344105494617</v>
      </c>
      <c r="K99" s="215">
        <f t="shared" si="86"/>
        <v>3753.1983771891773</v>
      </c>
      <c r="L99" s="215">
        <f t="shared" si="86"/>
        <v>3925.241854242486</v>
      </c>
      <c r="M99" s="269">
        <f t="shared" si="86"/>
        <v>4121.50394695461</v>
      </c>
      <c r="N99" s="268">
        <f t="shared" si="86"/>
        <v>4327.579144302341</v>
      </c>
      <c r="O99" s="215">
        <f t="shared" si="86"/>
        <v>4543.958101517458</v>
      </c>
      <c r="P99" s="215">
        <f t="shared" si="86"/>
        <v>4771.156006593327</v>
      </c>
      <c r="Q99" s="215">
        <f t="shared" si="86"/>
        <v>5009.713806922999</v>
      </c>
      <c r="R99" s="216">
        <f t="shared" si="86"/>
        <v>5260.199497269149</v>
      </c>
      <c r="S99" s="216">
        <f t="shared" si="86"/>
        <v>5523.209472132606</v>
      </c>
      <c r="T99" s="216">
        <f t="shared" si="86"/>
        <v>5799.369945739236</v>
      </c>
      <c r="U99" s="216">
        <f t="shared" si="86"/>
        <v>6089.3384430261995</v>
      </c>
      <c r="V99" s="216">
        <f t="shared" si="86"/>
        <v>6393.805365177508</v>
      </c>
      <c r="W99" s="216">
        <f t="shared" si="86"/>
        <v>6713.495633436384</v>
      </c>
      <c r="X99" s="216">
        <f t="shared" si="86"/>
        <v>7049.170415108202</v>
      </c>
      <c r="Y99" s="216">
        <f t="shared" si="86"/>
        <v>7401.628935863612</v>
      </c>
      <c r="Z99" s="216">
        <f t="shared" si="86"/>
        <v>7771.710382656795</v>
      </c>
      <c r="AA99" s="216"/>
    </row>
    <row r="100" spans="1:27" s="259" customFormat="1" ht="10.5" customHeight="1" thickBot="1">
      <c r="A100" s="138">
        <v>50</v>
      </c>
      <c r="B100" s="139" t="s">
        <v>72</v>
      </c>
      <c r="C100" s="140">
        <f aca="true" t="shared" si="87" ref="C100:AA100">C98-C66</f>
        <v>568.4950966913052</v>
      </c>
      <c r="D100" s="141">
        <f t="shared" si="87"/>
        <v>625.2505360135601</v>
      </c>
      <c r="E100" s="141">
        <f t="shared" si="87"/>
        <v>762.9404500123273</v>
      </c>
      <c r="F100" s="141">
        <f t="shared" si="87"/>
        <v>934.9223953829433</v>
      </c>
      <c r="G100" s="141">
        <f t="shared" si="87"/>
        <v>1129.6715715753212</v>
      </c>
      <c r="H100" s="141">
        <f t="shared" si="87"/>
        <v>1379.8653438762153</v>
      </c>
      <c r="I100" s="141">
        <f t="shared" si="87"/>
        <v>1672.6727651191366</v>
      </c>
      <c r="J100" s="141">
        <f t="shared" si="87"/>
        <v>2030.7286872864493</v>
      </c>
      <c r="K100" s="141">
        <f t="shared" si="87"/>
        <v>2412.71412490264</v>
      </c>
      <c r="L100" s="141">
        <f t="shared" si="87"/>
        <v>2775.4470325972925</v>
      </c>
      <c r="M100" s="142">
        <f t="shared" si="87"/>
        <v>2914.219384227158</v>
      </c>
      <c r="N100" s="140">
        <f t="shared" si="87"/>
        <v>3059.930353438514</v>
      </c>
      <c r="O100" s="141">
        <f t="shared" si="87"/>
        <v>3212.9268711104373</v>
      </c>
      <c r="P100" s="141">
        <f t="shared" si="87"/>
        <v>3373.5732146659634</v>
      </c>
      <c r="Q100" s="141">
        <f t="shared" si="87"/>
        <v>3542.2518753992617</v>
      </c>
      <c r="R100" s="143">
        <f t="shared" si="87"/>
        <v>3719.3644691692243</v>
      </c>
      <c r="S100" s="143">
        <f t="shared" si="87"/>
        <v>3905.3326926276854</v>
      </c>
      <c r="T100" s="143">
        <f t="shared" si="87"/>
        <v>4100.5993272590695</v>
      </c>
      <c r="U100" s="143">
        <f t="shared" si="87"/>
        <v>4305.629293622023</v>
      </c>
      <c r="V100" s="143">
        <f t="shared" si="87"/>
        <v>4520.9107583031255</v>
      </c>
      <c r="W100" s="143">
        <f t="shared" si="87"/>
        <v>4746.956296218282</v>
      </c>
      <c r="X100" s="143">
        <f t="shared" si="87"/>
        <v>4984.304111029195</v>
      </c>
      <c r="Y100" s="143">
        <f t="shared" si="87"/>
        <v>5233.519316580654</v>
      </c>
      <c r="Z100" s="143">
        <f t="shared" si="87"/>
        <v>5495.195282409688</v>
      </c>
      <c r="AA100" s="143">
        <f t="shared" si="87"/>
        <v>5769.955046530172</v>
      </c>
    </row>
    <row r="101" spans="1:27" ht="10.5" customHeight="1" hidden="1">
      <c r="A101" s="92">
        <v>62</v>
      </c>
      <c r="B101" s="157" t="s">
        <v>73</v>
      </c>
      <c r="C101" s="158"/>
      <c r="D101" s="27">
        <f aca="true" t="shared" si="88" ref="D101:AA101">D100/C100-1</f>
        <v>0.09983452742614118</v>
      </c>
      <c r="E101" s="27">
        <f t="shared" si="88"/>
        <v>0.22021558730144153</v>
      </c>
      <c r="F101" s="27">
        <f t="shared" si="88"/>
        <v>0.22541988089350506</v>
      </c>
      <c r="G101" s="25">
        <f t="shared" si="88"/>
        <v>0.20830517822028316</v>
      </c>
      <c r="H101" s="25">
        <f t="shared" si="88"/>
        <v>0.22147478842191282</v>
      </c>
      <c r="I101" s="25">
        <f t="shared" si="88"/>
        <v>0.21219999657386013</v>
      </c>
      <c r="J101" s="25">
        <f t="shared" si="88"/>
        <v>0.21406214630499476</v>
      </c>
      <c r="K101" s="25">
        <f t="shared" si="88"/>
        <v>0.1881026451281469</v>
      </c>
      <c r="L101" s="25">
        <f t="shared" si="88"/>
        <v>0.15034226556338903</v>
      </c>
      <c r="M101" s="159">
        <f t="shared" si="88"/>
        <v>0.050000000000000266</v>
      </c>
      <c r="N101" s="160">
        <f t="shared" si="88"/>
        <v>0.04999999999999938</v>
      </c>
      <c r="O101" s="27">
        <f t="shared" si="88"/>
        <v>0.049999999999999156</v>
      </c>
      <c r="P101" s="27">
        <f t="shared" si="88"/>
        <v>0.05000000000000138</v>
      </c>
      <c r="Q101" s="27">
        <f t="shared" si="88"/>
        <v>0.050000000000000044</v>
      </c>
      <c r="R101" s="21">
        <f t="shared" si="88"/>
        <v>0.04999999999999982</v>
      </c>
      <c r="S101" s="21">
        <f t="shared" si="88"/>
        <v>0.050000000000000044</v>
      </c>
      <c r="T101" s="21">
        <f t="shared" si="88"/>
        <v>0.050000000000000044</v>
      </c>
      <c r="U101" s="21">
        <f t="shared" si="88"/>
        <v>0.050000000000000044</v>
      </c>
      <c r="V101" s="21">
        <f t="shared" si="88"/>
        <v>0.050000000000000266</v>
      </c>
      <c r="W101" s="21">
        <f t="shared" si="88"/>
        <v>0.050000000000000044</v>
      </c>
      <c r="X101" s="21">
        <f t="shared" si="88"/>
        <v>0.04999999999999982</v>
      </c>
      <c r="Y101" s="21">
        <f t="shared" si="88"/>
        <v>0.04999999999999982</v>
      </c>
      <c r="Z101" s="21">
        <f t="shared" si="88"/>
        <v>0.050000000000000266</v>
      </c>
      <c r="AA101" s="21">
        <f t="shared" si="88"/>
        <v>0.04999999999999982</v>
      </c>
    </row>
    <row r="102" spans="1:27" ht="10.5" customHeight="1" hidden="1">
      <c r="A102" s="92"/>
      <c r="B102" s="224"/>
      <c r="C102" s="232"/>
      <c r="D102" s="199"/>
      <c r="E102" s="199"/>
      <c r="F102" s="199"/>
      <c r="G102" s="199"/>
      <c r="H102" s="199"/>
      <c r="I102" s="199"/>
      <c r="J102" s="199"/>
      <c r="K102" s="199"/>
      <c r="L102" s="199"/>
      <c r="M102" s="233"/>
      <c r="N102" s="232"/>
      <c r="O102" s="199"/>
      <c r="P102" s="199"/>
      <c r="Q102" s="19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</row>
    <row r="103" spans="1:27" s="3" customFormat="1" ht="14.25" customHeight="1">
      <c r="A103" s="92">
        <v>51</v>
      </c>
      <c r="B103" s="93" t="s">
        <v>74</v>
      </c>
      <c r="C103" s="82">
        <f aca="true" t="shared" si="89" ref="C103:P103">(C66*C68+C82*C84)/(C82+C66)</f>
        <v>0.19287952710667838</v>
      </c>
      <c r="D103" s="26">
        <f t="shared" si="89"/>
        <v>0.1926492150950087</v>
      </c>
      <c r="E103" s="26">
        <f t="shared" si="89"/>
        <v>0.19283854406089682</v>
      </c>
      <c r="F103" s="26">
        <f t="shared" si="89"/>
        <v>0.19234015066993196</v>
      </c>
      <c r="G103" s="26">
        <f t="shared" si="89"/>
        <v>0.19175091670626593</v>
      </c>
      <c r="H103" s="26">
        <f t="shared" si="89"/>
        <v>0.19143600443324255</v>
      </c>
      <c r="I103" s="26">
        <f t="shared" si="89"/>
        <v>0.19145839081433907</v>
      </c>
      <c r="J103" s="26">
        <f t="shared" si="89"/>
        <v>0.19186692293010504</v>
      </c>
      <c r="K103" s="26">
        <f t="shared" si="89"/>
        <v>0.19265288012695436</v>
      </c>
      <c r="L103" s="26">
        <f t="shared" si="89"/>
        <v>0.19353817444166949</v>
      </c>
      <c r="M103" s="83">
        <f t="shared" si="89"/>
        <v>0.19353817444166949</v>
      </c>
      <c r="N103" s="82">
        <f t="shared" si="89"/>
        <v>0.1935381744416695</v>
      </c>
      <c r="O103" s="26">
        <f t="shared" si="89"/>
        <v>0.1935381744416695</v>
      </c>
      <c r="P103" s="26">
        <f t="shared" si="89"/>
        <v>0.1935381744416697</v>
      </c>
      <c r="Q103" s="26">
        <f aca="true" t="shared" si="90" ref="Q103:AA103">P103</f>
        <v>0.1935381744416697</v>
      </c>
      <c r="R103" s="26">
        <f t="shared" si="90"/>
        <v>0.1935381744416697</v>
      </c>
      <c r="S103" s="26">
        <f t="shared" si="90"/>
        <v>0.1935381744416697</v>
      </c>
      <c r="T103" s="26">
        <f t="shared" si="90"/>
        <v>0.1935381744416697</v>
      </c>
      <c r="U103" s="26">
        <f t="shared" si="90"/>
        <v>0.1935381744416697</v>
      </c>
      <c r="V103" s="26">
        <f t="shared" si="90"/>
        <v>0.1935381744416697</v>
      </c>
      <c r="W103" s="26">
        <f t="shared" si="90"/>
        <v>0.1935381744416697</v>
      </c>
      <c r="X103" s="26">
        <f t="shared" si="90"/>
        <v>0.1935381744416697</v>
      </c>
      <c r="Y103" s="26">
        <f t="shared" si="90"/>
        <v>0.1935381744416697</v>
      </c>
      <c r="Z103" s="26">
        <f t="shared" si="90"/>
        <v>0.1935381744416697</v>
      </c>
      <c r="AA103" s="26">
        <f t="shared" si="90"/>
        <v>0.1935381744416697</v>
      </c>
    </row>
    <row r="104" spans="1:27" ht="10.5" customHeight="1" hidden="1">
      <c r="A104" s="92"/>
      <c r="B104" s="227" t="s">
        <v>69</v>
      </c>
      <c r="C104" s="228">
        <v>1</v>
      </c>
      <c r="D104" s="203">
        <f>1/(1+C103)</f>
        <v>0.8383076222504159</v>
      </c>
      <c r="E104" s="203">
        <f aca="true" t="shared" si="91" ref="E104:AA104">D104/(1+D103)</f>
        <v>0.7028953791611179</v>
      </c>
      <c r="F104" s="203">
        <f t="shared" si="91"/>
        <v>0.5892627989435875</v>
      </c>
      <c r="G104" s="203">
        <f t="shared" si="91"/>
        <v>0.49420695815074445</v>
      </c>
      <c r="H104" s="203">
        <f t="shared" si="91"/>
        <v>0.414689807427732</v>
      </c>
      <c r="I104" s="203">
        <f t="shared" si="91"/>
        <v>0.34805881800172467</v>
      </c>
      <c r="J104" s="203">
        <f t="shared" si="91"/>
        <v>0.2921283870969536</v>
      </c>
      <c r="K104" s="203">
        <f t="shared" si="91"/>
        <v>0.24510151383241713</v>
      </c>
      <c r="L104" s="203">
        <f t="shared" si="91"/>
        <v>0.20550951405603182</v>
      </c>
      <c r="M104" s="267">
        <f t="shared" si="91"/>
        <v>0.17218512022220656</v>
      </c>
      <c r="N104" s="228">
        <f t="shared" si="91"/>
        <v>0.14426444324058071</v>
      </c>
      <c r="O104" s="203">
        <f t="shared" si="91"/>
        <v>0.1208712434422693</v>
      </c>
      <c r="P104" s="203">
        <f t="shared" si="91"/>
        <v>0.10127136779584966</v>
      </c>
      <c r="Q104" s="203">
        <f t="shared" si="91"/>
        <v>0.08484970984964417</v>
      </c>
      <c r="R104" s="203">
        <f t="shared" si="91"/>
        <v>0.07109090573440298</v>
      </c>
      <c r="S104" s="204">
        <f t="shared" si="91"/>
        <v>0.059563160405538676</v>
      </c>
      <c r="T104" s="204">
        <f t="shared" si="91"/>
        <v>0.049904696540939694</v>
      </c>
      <c r="U104" s="204">
        <f t="shared" si="91"/>
        <v>0.04181240081766536</v>
      </c>
      <c r="V104" s="204">
        <f t="shared" si="91"/>
        <v>0.035032311251565085</v>
      </c>
      <c r="W104" s="204">
        <f t="shared" si="91"/>
        <v>0.02935164706227599</v>
      </c>
      <c r="X104" s="204">
        <f t="shared" si="91"/>
        <v>0.02459213093540684</v>
      </c>
      <c r="Y104" s="204">
        <f t="shared" si="91"/>
        <v>0.020604394113251465</v>
      </c>
      <c r="Z104" s="204">
        <f t="shared" si="91"/>
        <v>0.01726328872797896</v>
      </c>
      <c r="AA104" s="204">
        <f t="shared" si="91"/>
        <v>0.014463960263403075</v>
      </c>
    </row>
    <row r="105" spans="1:27" ht="10.5" customHeight="1" hidden="1">
      <c r="A105" s="84">
        <v>28</v>
      </c>
      <c r="B105" s="243" t="s">
        <v>75</v>
      </c>
      <c r="C105" s="260"/>
      <c r="D105" s="264">
        <f>C39+C28-C36</f>
        <v>357</v>
      </c>
      <c r="E105" s="264">
        <f aca="true" t="shared" si="92" ref="E105:AA105">D39+D28-D36</f>
        <v>-210.5</v>
      </c>
      <c r="F105" s="264">
        <f t="shared" si="92"/>
        <v>365.75</v>
      </c>
      <c r="G105" s="264">
        <f t="shared" si="92"/>
        <v>633.25</v>
      </c>
      <c r="H105" s="264">
        <f t="shared" si="92"/>
        <v>582.625</v>
      </c>
      <c r="I105" s="264">
        <f t="shared" si="92"/>
        <v>405</v>
      </c>
      <c r="J105" s="264">
        <f t="shared" si="92"/>
        <v>536.65</v>
      </c>
      <c r="K105" s="264">
        <f t="shared" si="92"/>
        <v>546.1450000000002</v>
      </c>
      <c r="L105" s="264">
        <f t="shared" si="92"/>
        <v>551.0210000000002</v>
      </c>
      <c r="M105" s="265">
        <f t="shared" si="92"/>
        <v>563.4220500000006</v>
      </c>
      <c r="N105" s="263">
        <f t="shared" si="92"/>
        <v>591.5931525000008</v>
      </c>
      <c r="O105" s="264">
        <f t="shared" si="92"/>
        <v>621.172810124999</v>
      </c>
      <c r="P105" s="264">
        <f t="shared" si="92"/>
        <v>652.2314506312498</v>
      </c>
      <c r="Q105" s="264">
        <f t="shared" si="92"/>
        <v>684.8430231628133</v>
      </c>
      <c r="R105" s="264">
        <f t="shared" si="92"/>
        <v>719.0851743209528</v>
      </c>
      <c r="S105" s="264">
        <f t="shared" si="92"/>
        <v>755.0394330370012</v>
      </c>
      <c r="T105" s="264">
        <f t="shared" si="92"/>
        <v>792.7914046888513</v>
      </c>
      <c r="U105" s="264">
        <f t="shared" si="92"/>
        <v>832.4309749232928</v>
      </c>
      <c r="V105" s="264">
        <f t="shared" si="92"/>
        <v>874.0525236694598</v>
      </c>
      <c r="W105" s="264">
        <f t="shared" si="92"/>
        <v>917.7551498529322</v>
      </c>
      <c r="X105" s="264">
        <f t="shared" si="92"/>
        <v>963.6429073455788</v>
      </c>
      <c r="Y105" s="264">
        <f t="shared" si="92"/>
        <v>1011.8250527128571</v>
      </c>
      <c r="Z105" s="264">
        <f t="shared" si="92"/>
        <v>1062.4163053484974</v>
      </c>
      <c r="AA105" s="264">
        <f t="shared" si="92"/>
        <v>1115.537120615925</v>
      </c>
    </row>
    <row r="106" spans="1:27" ht="10.5" customHeight="1" hidden="1">
      <c r="A106" s="92"/>
      <c r="B106" s="227" t="s">
        <v>70</v>
      </c>
      <c r="C106" s="232"/>
      <c r="D106" s="199">
        <f aca="true" t="shared" si="93" ref="D106:AA106">D105*D104</f>
        <v>299.27582114339845</v>
      </c>
      <c r="E106" s="199">
        <f t="shared" si="93"/>
        <v>-147.9594773134153</v>
      </c>
      <c r="F106" s="199">
        <f t="shared" si="93"/>
        <v>215.5228687136171</v>
      </c>
      <c r="G106" s="199">
        <f t="shared" si="93"/>
        <v>312.9565562489589</v>
      </c>
      <c r="H106" s="199">
        <f t="shared" si="93"/>
        <v>241.60864905258234</v>
      </c>
      <c r="I106" s="199">
        <f t="shared" si="93"/>
        <v>140.9638212906985</v>
      </c>
      <c r="J106" s="199">
        <f t="shared" si="93"/>
        <v>156.77069893558016</v>
      </c>
      <c r="K106" s="199">
        <f t="shared" si="93"/>
        <v>133.8609662720055</v>
      </c>
      <c r="L106" s="199">
        <f t="shared" si="93"/>
        <v>113.24005794466875</v>
      </c>
      <c r="M106" s="233">
        <f t="shared" si="93"/>
        <v>97.01289341509218</v>
      </c>
      <c r="N106" s="232">
        <f t="shared" si="93"/>
        <v>85.34585677035257</v>
      </c>
      <c r="O106" s="199">
        <f t="shared" si="93"/>
        <v>75.08192995233728</v>
      </c>
      <c r="P106" s="199">
        <f t="shared" si="93"/>
        <v>66.05237112489786</v>
      </c>
      <c r="Q106" s="199">
        <f t="shared" si="93"/>
        <v>58.10873180791785</v>
      </c>
      <c r="R106" s="199">
        <f t="shared" si="93"/>
        <v>51.120416342657585</v>
      </c>
      <c r="S106" s="187">
        <f t="shared" si="93"/>
        <v>44.97253486248988</v>
      </c>
      <c r="T106" s="187">
        <f t="shared" si="93"/>
        <v>39.56401447126244</v>
      </c>
      <c r="U106" s="187">
        <f t="shared" si="93"/>
        <v>34.805937576532656</v>
      </c>
      <c r="V106" s="187">
        <f t="shared" si="93"/>
        <v>30.620080059404472</v>
      </c>
      <c r="W106" s="187">
        <f t="shared" si="93"/>
        <v>26.93762524806948</v>
      </c>
      <c r="X106" s="187">
        <f t="shared" si="93"/>
        <v>23.698032552418596</v>
      </c>
      <c r="Y106" s="187">
        <f t="shared" si="93"/>
        <v>20.848042159757146</v>
      </c>
      <c r="Z106" s="187">
        <f t="shared" si="93"/>
        <v>18.340799428543768</v>
      </c>
      <c r="AA106" s="187">
        <f t="shared" si="93"/>
        <v>16.135084584939822</v>
      </c>
    </row>
    <row r="107" spans="1:27" ht="10.5" customHeight="1" hidden="1">
      <c r="A107" s="92"/>
      <c r="B107" s="227" t="s">
        <v>53</v>
      </c>
      <c r="C107" s="232">
        <f>SUM(D106:M106)</f>
        <v>1563.2528557031865</v>
      </c>
      <c r="D107" s="199">
        <f aca="true" t="shared" si="94" ref="D107:Q107">SUM(E106:N106)/D104</f>
        <v>1609.5796525241142</v>
      </c>
      <c r="E107" s="199">
        <f t="shared" si="94"/>
        <v>2236.9819822580957</v>
      </c>
      <c r="F107" s="199">
        <f t="shared" si="94"/>
        <v>2414.7015619484127</v>
      </c>
      <c r="G107" s="199">
        <f t="shared" si="94"/>
        <v>2363.475376665685</v>
      </c>
      <c r="H107" s="199">
        <f t="shared" si="94"/>
        <v>2357.322814177359</v>
      </c>
      <c r="I107" s="199">
        <f t="shared" si="94"/>
        <v>2532.808858253467</v>
      </c>
      <c r="J107" s="199">
        <f t="shared" si="94"/>
        <v>2616.5200190216387</v>
      </c>
      <c r="K107" s="199">
        <f t="shared" si="94"/>
        <v>2714.404876026578</v>
      </c>
      <c r="L107" s="199">
        <f t="shared" si="94"/>
        <v>2835.31771781659</v>
      </c>
      <c r="M107" s="233">
        <f t="shared" si="94"/>
        <v>2977.08360370742</v>
      </c>
      <c r="N107" s="232">
        <f t="shared" si="94"/>
        <v>3125.9377838927903</v>
      </c>
      <c r="O107" s="199">
        <f t="shared" si="94"/>
        <v>3282.23467308743</v>
      </c>
      <c r="P107" s="199">
        <f t="shared" si="94"/>
        <v>3446.3464067418017</v>
      </c>
      <c r="Q107" s="199">
        <f t="shared" si="94"/>
        <v>3618.6637270788915</v>
      </c>
      <c r="R107" s="199">
        <f>Q107*1.05</f>
        <v>3799.596913432836</v>
      </c>
      <c r="S107" s="187">
        <f>R107*1.05</f>
        <v>3989.5767591044782</v>
      </c>
      <c r="T107" s="187">
        <f aca="true" t="shared" si="95" ref="T107:AA108">S107*1.05</f>
        <v>4189.055597059702</v>
      </c>
      <c r="U107" s="187">
        <f t="shared" si="95"/>
        <v>4398.508376912688</v>
      </c>
      <c r="V107" s="187">
        <f t="shared" si="95"/>
        <v>4618.433795758322</v>
      </c>
      <c r="W107" s="187">
        <f t="shared" si="95"/>
        <v>4849.355485546238</v>
      </c>
      <c r="X107" s="187">
        <f t="shared" si="95"/>
        <v>5091.82325982355</v>
      </c>
      <c r="Y107" s="187">
        <f t="shared" si="95"/>
        <v>5346.414422814728</v>
      </c>
      <c r="Z107" s="187">
        <f t="shared" si="95"/>
        <v>5613.735143955465</v>
      </c>
      <c r="AA107" s="187">
        <f t="shared" si="95"/>
        <v>5894.421901153239</v>
      </c>
    </row>
    <row r="108" spans="1:27" ht="10.5" customHeight="1" hidden="1">
      <c r="A108" s="92"/>
      <c r="B108" s="227" t="s">
        <v>41</v>
      </c>
      <c r="C108" s="232">
        <f>N105/(N103-$N$5)*M104</f>
        <v>709.6616526026792</v>
      </c>
      <c r="D108" s="199">
        <f aca="true" t="shared" si="96" ref="D108:P108">O105/(O103-$N$5)*N104/D104</f>
        <v>744.733531297693</v>
      </c>
      <c r="E108" s="199">
        <f t="shared" si="96"/>
        <v>781.3877885148137</v>
      </c>
      <c r="F108" s="199">
        <f t="shared" si="96"/>
        <v>819.976240857769</v>
      </c>
      <c r="G108" s="199">
        <f t="shared" si="96"/>
        <v>860.1108421009213</v>
      </c>
      <c r="H108" s="199">
        <f t="shared" si="96"/>
        <v>901.7640171194299</v>
      </c>
      <c r="I108" s="199">
        <f t="shared" si="96"/>
        <v>945.1845341277759</v>
      </c>
      <c r="J108" s="199">
        <f t="shared" si="96"/>
        <v>990.7143915278192</v>
      </c>
      <c r="K108" s="199">
        <f t="shared" si="96"/>
        <v>1038.7935011625987</v>
      </c>
      <c r="L108" s="199">
        <f t="shared" si="96"/>
        <v>1089.9241364258912</v>
      </c>
      <c r="M108" s="233">
        <f t="shared" si="96"/>
        <v>1144.4203432471857</v>
      </c>
      <c r="N108" s="232">
        <f t="shared" si="96"/>
        <v>1201.641360409544</v>
      </c>
      <c r="O108" s="199">
        <f t="shared" si="96"/>
        <v>1261.723428430018</v>
      </c>
      <c r="P108" s="199">
        <f t="shared" si="96"/>
        <v>1324.8095998515216</v>
      </c>
      <c r="Q108" s="199">
        <f>P108*1.05</f>
        <v>1391.0500798440978</v>
      </c>
      <c r="R108" s="199">
        <f>Q108*1.05</f>
        <v>1460.6025838363028</v>
      </c>
      <c r="S108" s="187">
        <f>R108*1.05</f>
        <v>1533.632713028118</v>
      </c>
      <c r="T108" s="187">
        <f t="shared" si="95"/>
        <v>1610.3143486795238</v>
      </c>
      <c r="U108" s="187">
        <f t="shared" si="95"/>
        <v>1690.8300661135002</v>
      </c>
      <c r="V108" s="187">
        <f t="shared" si="95"/>
        <v>1775.3715694191753</v>
      </c>
      <c r="W108" s="187">
        <f t="shared" si="95"/>
        <v>1864.1401478901341</v>
      </c>
      <c r="X108" s="187">
        <f t="shared" si="95"/>
        <v>1957.3471552846408</v>
      </c>
      <c r="Y108" s="187">
        <f t="shared" si="95"/>
        <v>2055.214513048873</v>
      </c>
      <c r="Z108" s="187">
        <f t="shared" si="95"/>
        <v>2157.975238701317</v>
      </c>
      <c r="AA108" s="187">
        <f t="shared" si="95"/>
        <v>2265.874000636383</v>
      </c>
    </row>
    <row r="109" spans="1:27" ht="10.5" customHeight="1">
      <c r="A109" s="92">
        <v>52</v>
      </c>
      <c r="B109" s="243" t="s">
        <v>76</v>
      </c>
      <c r="C109" s="268">
        <f aca="true" t="shared" si="97" ref="C109:AA109">C107+C108</f>
        <v>2272.9145083058656</v>
      </c>
      <c r="D109" s="215">
        <f t="shared" si="97"/>
        <v>2354.3131838218073</v>
      </c>
      <c r="E109" s="215">
        <f t="shared" si="97"/>
        <v>3018.3697707729093</v>
      </c>
      <c r="F109" s="215">
        <f t="shared" si="97"/>
        <v>3234.6778028061817</v>
      </c>
      <c r="G109" s="215">
        <f t="shared" si="97"/>
        <v>3223.586218766606</v>
      </c>
      <c r="H109" s="215">
        <f t="shared" si="97"/>
        <v>3259.0868312967887</v>
      </c>
      <c r="I109" s="215">
        <f t="shared" si="97"/>
        <v>3477.9933923812428</v>
      </c>
      <c r="J109" s="215">
        <f t="shared" si="97"/>
        <v>3607.234410549458</v>
      </c>
      <c r="K109" s="215">
        <f t="shared" si="97"/>
        <v>3753.198377189177</v>
      </c>
      <c r="L109" s="215">
        <f t="shared" si="97"/>
        <v>3925.241854242481</v>
      </c>
      <c r="M109" s="269">
        <f t="shared" si="97"/>
        <v>4121.503946954605</v>
      </c>
      <c r="N109" s="268">
        <f t="shared" si="97"/>
        <v>4327.5791443023345</v>
      </c>
      <c r="O109" s="215">
        <f t="shared" si="97"/>
        <v>4543.958101517448</v>
      </c>
      <c r="P109" s="215">
        <f t="shared" si="97"/>
        <v>4771.156006593324</v>
      </c>
      <c r="Q109" s="215">
        <f t="shared" si="97"/>
        <v>5009.7138069229895</v>
      </c>
      <c r="R109" s="215">
        <f t="shared" si="97"/>
        <v>5260.199497269139</v>
      </c>
      <c r="S109" s="216">
        <f t="shared" si="97"/>
        <v>5523.209472132596</v>
      </c>
      <c r="T109" s="216">
        <f t="shared" si="97"/>
        <v>5799.369945739227</v>
      </c>
      <c r="U109" s="216">
        <f t="shared" si="97"/>
        <v>6089.338443026188</v>
      </c>
      <c r="V109" s="216">
        <f t="shared" si="97"/>
        <v>6393.805365177497</v>
      </c>
      <c r="W109" s="216">
        <f t="shared" si="97"/>
        <v>6713.495633436372</v>
      </c>
      <c r="X109" s="216">
        <f t="shared" si="97"/>
        <v>7049.17041510819</v>
      </c>
      <c r="Y109" s="216">
        <f t="shared" si="97"/>
        <v>7401.6289358636</v>
      </c>
      <c r="Z109" s="216">
        <f t="shared" si="97"/>
        <v>7771.710382656782</v>
      </c>
      <c r="AA109" s="216">
        <f t="shared" si="97"/>
        <v>8160.295901789621</v>
      </c>
    </row>
    <row r="110" spans="1:27" s="259" customFormat="1" ht="10.5" customHeight="1" thickBot="1">
      <c r="A110" s="138">
        <v>53</v>
      </c>
      <c r="B110" s="139" t="s">
        <v>77</v>
      </c>
      <c r="C110" s="140">
        <f aca="true" t="shared" si="98" ref="C110:AA110">C109-C66</f>
        <v>568.4950966913043</v>
      </c>
      <c r="D110" s="141">
        <f t="shared" si="98"/>
        <v>625.2505360135606</v>
      </c>
      <c r="E110" s="141">
        <f t="shared" si="98"/>
        <v>762.9404500123255</v>
      </c>
      <c r="F110" s="141">
        <f t="shared" si="98"/>
        <v>934.9223953829419</v>
      </c>
      <c r="G110" s="141">
        <f t="shared" si="98"/>
        <v>1129.6715715753203</v>
      </c>
      <c r="H110" s="141">
        <f t="shared" si="98"/>
        <v>1379.8653438762135</v>
      </c>
      <c r="I110" s="141">
        <f t="shared" si="98"/>
        <v>1672.6727651191343</v>
      </c>
      <c r="J110" s="141">
        <f t="shared" si="98"/>
        <v>2030.728687286446</v>
      </c>
      <c r="K110" s="141">
        <f t="shared" si="98"/>
        <v>2412.714124902637</v>
      </c>
      <c r="L110" s="141">
        <f t="shared" si="98"/>
        <v>2775.4470325972875</v>
      </c>
      <c r="M110" s="142">
        <f t="shared" si="98"/>
        <v>2914.2193842271527</v>
      </c>
      <c r="N110" s="140">
        <f t="shared" si="98"/>
        <v>3059.9303534385085</v>
      </c>
      <c r="O110" s="141">
        <f t="shared" si="98"/>
        <v>3212.926871110431</v>
      </c>
      <c r="P110" s="141">
        <f t="shared" si="98"/>
        <v>3373.573214665955</v>
      </c>
      <c r="Q110" s="141">
        <f t="shared" si="98"/>
        <v>3542.2518753992526</v>
      </c>
      <c r="R110" s="141">
        <f t="shared" si="98"/>
        <v>3719.364469169215</v>
      </c>
      <c r="S110" s="141">
        <f t="shared" si="98"/>
        <v>3905.3326926276754</v>
      </c>
      <c r="T110" s="141">
        <f t="shared" si="98"/>
        <v>4100.59932725906</v>
      </c>
      <c r="U110" s="141">
        <f t="shared" si="98"/>
        <v>4305.6292936220125</v>
      </c>
      <c r="V110" s="141">
        <f t="shared" si="98"/>
        <v>4520.910758303114</v>
      </c>
      <c r="W110" s="141">
        <f t="shared" si="98"/>
        <v>4746.95629621827</v>
      </c>
      <c r="X110" s="141">
        <f t="shared" si="98"/>
        <v>4984.304111029182</v>
      </c>
      <c r="Y110" s="141">
        <f t="shared" si="98"/>
        <v>5233.519316580641</v>
      </c>
      <c r="Z110" s="141">
        <f t="shared" si="98"/>
        <v>5495.195282409675</v>
      </c>
      <c r="AA110" s="141">
        <f t="shared" si="98"/>
        <v>5769.955046530159</v>
      </c>
    </row>
    <row r="111" spans="2:27" s="207" customFormat="1" ht="12.75" customHeight="1">
      <c r="B111" s="30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</row>
    <row r="112" spans="3:27" s="207" customFormat="1" ht="10.5" customHeight="1"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</row>
    <row r="113" spans="3:17" ht="10.5" customHeight="1" hidden="1"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</row>
    <row r="114" spans="3:17" ht="10.5" customHeight="1" hidden="1"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</row>
    <row r="115" spans="2:27" ht="10.5" customHeight="1" hidden="1">
      <c r="B115" s="20" t="s">
        <v>96</v>
      </c>
      <c r="C115" s="24">
        <v>0</v>
      </c>
      <c r="D115" s="24">
        <v>1</v>
      </c>
      <c r="E115" s="24">
        <f aca="true" t="shared" si="99" ref="E115:AA115">D115+1</f>
        <v>2</v>
      </c>
      <c r="F115" s="24">
        <f t="shared" si="99"/>
        <v>3</v>
      </c>
      <c r="G115" s="24">
        <f t="shared" si="99"/>
        <v>4</v>
      </c>
      <c r="H115" s="24">
        <f t="shared" si="99"/>
        <v>5</v>
      </c>
      <c r="I115" s="24">
        <f t="shared" si="99"/>
        <v>6</v>
      </c>
      <c r="J115" s="24">
        <f t="shared" si="99"/>
        <v>7</v>
      </c>
      <c r="K115" s="24">
        <f t="shared" si="99"/>
        <v>8</v>
      </c>
      <c r="L115" s="24">
        <f t="shared" si="99"/>
        <v>9</v>
      </c>
      <c r="M115" s="24">
        <f t="shared" si="99"/>
        <v>10</v>
      </c>
      <c r="N115" s="24">
        <f t="shared" si="99"/>
        <v>11</v>
      </c>
      <c r="O115" s="24">
        <f t="shared" si="99"/>
        <v>12</v>
      </c>
      <c r="P115" s="24">
        <f t="shared" si="99"/>
        <v>13</v>
      </c>
      <c r="Q115" s="24">
        <f t="shared" si="99"/>
        <v>14</v>
      </c>
      <c r="R115" s="13">
        <f t="shared" si="99"/>
        <v>15</v>
      </c>
      <c r="S115" s="13">
        <f t="shared" si="99"/>
        <v>16</v>
      </c>
      <c r="T115" s="13">
        <f t="shared" si="99"/>
        <v>17</v>
      </c>
      <c r="U115" s="13">
        <f t="shared" si="99"/>
        <v>18</v>
      </c>
      <c r="V115" s="13">
        <f t="shared" si="99"/>
        <v>19</v>
      </c>
      <c r="W115" s="13">
        <f t="shared" si="99"/>
        <v>20</v>
      </c>
      <c r="X115" s="13">
        <f t="shared" si="99"/>
        <v>21</v>
      </c>
      <c r="Y115" s="13">
        <f t="shared" si="99"/>
        <v>22</v>
      </c>
      <c r="Z115" s="13">
        <f t="shared" si="99"/>
        <v>23</v>
      </c>
      <c r="AA115" s="13">
        <f t="shared" si="99"/>
        <v>24</v>
      </c>
    </row>
    <row r="116" spans="2:27" ht="10.5" customHeight="1" hidden="1">
      <c r="B116" s="181" t="s">
        <v>97</v>
      </c>
      <c r="C116" s="200"/>
      <c r="D116" s="200">
        <f aca="true" t="shared" si="100" ref="D116:AA116">C28</f>
        <v>270</v>
      </c>
      <c r="E116" s="200">
        <f t="shared" si="100"/>
        <v>270</v>
      </c>
      <c r="F116" s="200">
        <f t="shared" si="100"/>
        <v>345</v>
      </c>
      <c r="G116" s="200">
        <f t="shared" si="100"/>
        <v>345</v>
      </c>
      <c r="H116" s="200">
        <f t="shared" si="100"/>
        <v>307.5</v>
      </c>
      <c r="I116" s="200">
        <f t="shared" si="100"/>
        <v>270</v>
      </c>
      <c r="J116" s="200">
        <f t="shared" si="100"/>
        <v>255</v>
      </c>
      <c r="K116" s="200">
        <f t="shared" si="100"/>
        <v>217.5</v>
      </c>
      <c r="L116" s="200">
        <f t="shared" si="100"/>
        <v>180</v>
      </c>
      <c r="M116" s="200">
        <f t="shared" si="100"/>
        <v>150</v>
      </c>
      <c r="N116" s="200">
        <f t="shared" si="100"/>
        <v>157.5</v>
      </c>
      <c r="O116" s="200">
        <f t="shared" si="100"/>
        <v>165.375</v>
      </c>
      <c r="P116" s="200">
        <f t="shared" si="100"/>
        <v>173.64374999999998</v>
      </c>
      <c r="Q116" s="200">
        <f t="shared" si="100"/>
        <v>182.3259375</v>
      </c>
      <c r="R116" s="181">
        <f t="shared" si="100"/>
        <v>191.44223437500003</v>
      </c>
      <c r="S116" s="181">
        <f t="shared" si="100"/>
        <v>201.01434609375005</v>
      </c>
      <c r="T116" s="181">
        <f t="shared" si="100"/>
        <v>211.06506339843756</v>
      </c>
      <c r="U116" s="181">
        <f t="shared" si="100"/>
        <v>221.61831656835946</v>
      </c>
      <c r="V116" s="181">
        <f t="shared" si="100"/>
        <v>232.69923239677743</v>
      </c>
      <c r="W116" s="181">
        <f t="shared" si="100"/>
        <v>244.33419401661632</v>
      </c>
      <c r="X116" s="181">
        <f t="shared" si="100"/>
        <v>256.5509037174471</v>
      </c>
      <c r="Y116" s="181">
        <f t="shared" si="100"/>
        <v>269.3784489033195</v>
      </c>
      <c r="Z116" s="181">
        <f t="shared" si="100"/>
        <v>282.84737134848547</v>
      </c>
      <c r="AA116" s="181">
        <f t="shared" si="100"/>
        <v>296.98973991590975</v>
      </c>
    </row>
    <row r="117" spans="2:27" ht="10.5" customHeight="1" hidden="1">
      <c r="B117" s="181" t="s">
        <v>98</v>
      </c>
      <c r="C117" s="200"/>
      <c r="D117" s="200">
        <f aca="true" t="shared" si="101" ref="D117:AA117">C36</f>
        <v>0</v>
      </c>
      <c r="E117" s="200">
        <f t="shared" si="101"/>
        <v>500</v>
      </c>
      <c r="F117" s="200">
        <f t="shared" si="101"/>
        <v>0</v>
      </c>
      <c r="G117" s="200">
        <f t="shared" si="101"/>
        <v>-250</v>
      </c>
      <c r="H117" s="200">
        <f t="shared" si="101"/>
        <v>-250</v>
      </c>
      <c r="I117" s="200">
        <f t="shared" si="101"/>
        <v>-100</v>
      </c>
      <c r="J117" s="200">
        <f t="shared" si="101"/>
        <v>-250</v>
      </c>
      <c r="K117" s="200">
        <f t="shared" si="101"/>
        <v>-250</v>
      </c>
      <c r="L117" s="200">
        <f t="shared" si="101"/>
        <v>-200</v>
      </c>
      <c r="M117" s="200">
        <f t="shared" si="101"/>
        <v>50</v>
      </c>
      <c r="N117" s="200">
        <f t="shared" si="101"/>
        <v>52.5</v>
      </c>
      <c r="O117" s="200">
        <f t="shared" si="101"/>
        <v>55.125</v>
      </c>
      <c r="P117" s="200">
        <f t="shared" si="101"/>
        <v>57.881250000000136</v>
      </c>
      <c r="Q117" s="200">
        <f t="shared" si="101"/>
        <v>60.775312500000155</v>
      </c>
      <c r="R117" s="181">
        <f t="shared" si="101"/>
        <v>63.81407812500015</v>
      </c>
      <c r="S117" s="181">
        <f t="shared" si="101"/>
        <v>67.00478203124999</v>
      </c>
      <c r="T117" s="181">
        <f t="shared" si="101"/>
        <v>70.35502113281268</v>
      </c>
      <c r="U117" s="181">
        <f t="shared" si="101"/>
        <v>73.87277218945314</v>
      </c>
      <c r="V117" s="181">
        <f t="shared" si="101"/>
        <v>77.56641079892597</v>
      </c>
      <c r="W117" s="181">
        <f t="shared" si="101"/>
        <v>81.44473133887209</v>
      </c>
      <c r="X117" s="181">
        <f t="shared" si="101"/>
        <v>85.51696790581582</v>
      </c>
      <c r="Y117" s="181">
        <f t="shared" si="101"/>
        <v>89.79281630110654</v>
      </c>
      <c r="Z117" s="181">
        <f t="shared" si="101"/>
        <v>94.28245711616182</v>
      </c>
      <c r="AA117" s="181">
        <f t="shared" si="101"/>
        <v>98.99657997197005</v>
      </c>
    </row>
    <row r="118" spans="2:27" ht="10.5" customHeight="1" hidden="1">
      <c r="B118" s="181" t="s">
        <v>99</v>
      </c>
      <c r="C118" s="200"/>
      <c r="D118" s="200">
        <f aca="true" t="shared" si="102" ref="D118:AA118">D116-D117</f>
        <v>270</v>
      </c>
      <c r="E118" s="200">
        <f t="shared" si="102"/>
        <v>-230</v>
      </c>
      <c r="F118" s="200">
        <f t="shared" si="102"/>
        <v>345</v>
      </c>
      <c r="G118" s="200">
        <f t="shared" si="102"/>
        <v>595</v>
      </c>
      <c r="H118" s="200">
        <f t="shared" si="102"/>
        <v>557.5</v>
      </c>
      <c r="I118" s="200">
        <f t="shared" si="102"/>
        <v>370</v>
      </c>
      <c r="J118" s="200">
        <f t="shared" si="102"/>
        <v>505</v>
      </c>
      <c r="K118" s="200">
        <f t="shared" si="102"/>
        <v>467.5</v>
      </c>
      <c r="L118" s="200">
        <f t="shared" si="102"/>
        <v>380</v>
      </c>
      <c r="M118" s="200">
        <f t="shared" si="102"/>
        <v>100</v>
      </c>
      <c r="N118" s="200">
        <f t="shared" si="102"/>
        <v>105</v>
      </c>
      <c r="O118" s="200">
        <f t="shared" si="102"/>
        <v>110.25</v>
      </c>
      <c r="P118" s="200">
        <f t="shared" si="102"/>
        <v>115.76249999999985</v>
      </c>
      <c r="Q118" s="200">
        <f t="shared" si="102"/>
        <v>121.55062499999985</v>
      </c>
      <c r="R118" s="181">
        <f t="shared" si="102"/>
        <v>127.62815624999988</v>
      </c>
      <c r="S118" s="181">
        <f t="shared" si="102"/>
        <v>134.00956406250006</v>
      </c>
      <c r="T118" s="181">
        <f t="shared" si="102"/>
        <v>140.71004226562488</v>
      </c>
      <c r="U118" s="181">
        <f t="shared" si="102"/>
        <v>147.74554437890632</v>
      </c>
      <c r="V118" s="181">
        <f t="shared" si="102"/>
        <v>155.13282159785146</v>
      </c>
      <c r="W118" s="181">
        <f t="shared" si="102"/>
        <v>162.88946267774423</v>
      </c>
      <c r="X118" s="181">
        <f t="shared" si="102"/>
        <v>171.0339358116313</v>
      </c>
      <c r="Y118" s="181">
        <f t="shared" si="102"/>
        <v>179.58563260221297</v>
      </c>
      <c r="Z118" s="181">
        <f t="shared" si="102"/>
        <v>188.56491423232364</v>
      </c>
      <c r="AA118" s="181">
        <f t="shared" si="102"/>
        <v>197.9931599439397</v>
      </c>
    </row>
    <row r="119" spans="2:27" ht="10.5" customHeight="1" hidden="1">
      <c r="B119" s="2" t="s">
        <v>100</v>
      </c>
      <c r="C119" s="28"/>
      <c r="D119" s="28"/>
      <c r="E119" s="27">
        <f aca="true" t="shared" si="103" ref="E119:AA119">E118/D118-1</f>
        <v>-1.8518518518518519</v>
      </c>
      <c r="F119" s="27">
        <f t="shared" si="103"/>
        <v>-2.5</v>
      </c>
      <c r="G119" s="27">
        <f t="shared" si="103"/>
        <v>0.7246376811594204</v>
      </c>
      <c r="H119" s="27">
        <f t="shared" si="103"/>
        <v>-0.06302521008403361</v>
      </c>
      <c r="I119" s="27">
        <f t="shared" si="103"/>
        <v>-0.3363228699551569</v>
      </c>
      <c r="J119" s="27">
        <f t="shared" si="103"/>
        <v>0.3648648648648649</v>
      </c>
      <c r="K119" s="27">
        <f t="shared" si="103"/>
        <v>-0.07425742574257421</v>
      </c>
      <c r="L119" s="27">
        <f t="shared" si="103"/>
        <v>-0.1871657754010695</v>
      </c>
      <c r="M119" s="27">
        <f t="shared" si="103"/>
        <v>-0.736842105263158</v>
      </c>
      <c r="N119" s="27">
        <f t="shared" si="103"/>
        <v>0.050000000000000044</v>
      </c>
      <c r="O119" s="27">
        <f t="shared" si="103"/>
        <v>0.050000000000000044</v>
      </c>
      <c r="P119" s="27">
        <f t="shared" si="103"/>
        <v>0.04999999999999871</v>
      </c>
      <c r="Q119" s="27">
        <f t="shared" si="103"/>
        <v>0.050000000000000044</v>
      </c>
      <c r="R119" s="21">
        <f t="shared" si="103"/>
        <v>0.050000000000000266</v>
      </c>
      <c r="S119" s="21">
        <f t="shared" si="103"/>
        <v>0.0500000000000016</v>
      </c>
      <c r="T119" s="21">
        <f t="shared" si="103"/>
        <v>0.04999999999999871</v>
      </c>
      <c r="U119" s="21">
        <f t="shared" si="103"/>
        <v>0.05000000000000138</v>
      </c>
      <c r="V119" s="21">
        <f t="shared" si="103"/>
        <v>0.049999999999998934</v>
      </c>
      <c r="W119" s="21">
        <f t="shared" si="103"/>
        <v>0.05000000000000138</v>
      </c>
      <c r="X119" s="21">
        <f t="shared" si="103"/>
        <v>0.049999999999999156</v>
      </c>
      <c r="Y119" s="21">
        <f t="shared" si="103"/>
        <v>0.05000000000000071</v>
      </c>
      <c r="Z119" s="21">
        <f t="shared" si="103"/>
        <v>0.050000000000000266</v>
      </c>
      <c r="AA119" s="21">
        <f t="shared" si="103"/>
        <v>0.04999999999999938</v>
      </c>
    </row>
    <row r="120" spans="3:17" ht="10.5" customHeight="1" hidden="1"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</row>
    <row r="121" spans="3:17" ht="10.5" customHeight="1" hidden="1"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</row>
    <row r="122" spans="3:17" ht="10.5" customHeight="1" hidden="1"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</row>
    <row r="123" spans="3:17" ht="10.5" customHeight="1" hidden="1"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</row>
    <row r="124" spans="3:17" ht="10.5" customHeight="1" hidden="1"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</row>
    <row r="125" spans="3:17" ht="10.5" customHeight="1" hidden="1"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</row>
    <row r="126" s="207" customFormat="1" ht="12" customHeight="1">
      <c r="A126" s="175">
        <f>G4</f>
        <v>0.35</v>
      </c>
    </row>
    <row r="127" s="207" customFormat="1" ht="10.5"/>
    <row r="128" s="207" customFormat="1" ht="10.5"/>
    <row r="129" s="207" customFormat="1" ht="10.5"/>
    <row r="130" s="207" customFormat="1" ht="10.5"/>
    <row r="131" s="207" customFormat="1" ht="10.5"/>
    <row r="132" s="207" customFormat="1" ht="10.5"/>
    <row r="133" s="207" customFormat="1" ht="10.5"/>
    <row r="134" s="207" customFormat="1" ht="10.5"/>
    <row r="135" s="207" customFormat="1" ht="10.5"/>
    <row r="136" s="207" customFormat="1" ht="10.5"/>
    <row r="137" s="207" customFormat="1" ht="10.5"/>
    <row r="138" s="207" customFormat="1" ht="10.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Pablo Fernandez</cp:lastModifiedBy>
  <dcterms:created xsi:type="dcterms:W3CDTF">2001-05-08T16:43:08Z</dcterms:created>
  <dcterms:modified xsi:type="dcterms:W3CDTF">2019-05-24T19:00:08Z</dcterms:modified>
  <cp:category/>
  <cp:version/>
  <cp:contentType/>
  <cp:contentStatus/>
</cp:coreProperties>
</file>